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6.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Alejandro\Documents\ALEX\INFORMES TRIMESTRALES\2024\CUARTO TRIMESTRE\"/>
    </mc:Choice>
  </mc:AlternateContent>
  <bookViews>
    <workbookView xWindow="0" yWindow="0" windowWidth="15360" windowHeight="7350" tabRatio="899" firstSheet="9" activeTab="13"/>
  </bookViews>
  <sheets>
    <sheet name="Lista  FORMATOS" sheetId="87" r:id="rId1"/>
    <sheet name="CPCA-I-01" sheetId="2" r:id="rId2"/>
    <sheet name="CPCA-I-02" sheetId="51" r:id="rId3"/>
    <sheet name="CPCA-I-03" sheetId="1" r:id="rId4"/>
    <sheet name="CPCA-I-04" sheetId="80" r:id="rId5"/>
    <sheet name="CPCA-I-05" sheetId="74" r:id="rId6"/>
    <sheet name="CPCA-I-06" sheetId="23" r:id="rId7"/>
    <sheet name="CPCA-I-07" sheetId="6" r:id="rId8"/>
    <sheet name="CPCA-I-08" sheetId="75" r:id="rId9"/>
    <sheet name="CPCA-I-09" sheetId="52" r:id="rId10"/>
    <sheet name="CPCA-I-10" sheetId="53" r:id="rId11"/>
    <sheet name="CPCA-I-11" sheetId="26" r:id="rId12"/>
    <sheet name="CPCA-I-12 (Notas)" sheetId="86" r:id="rId13"/>
    <sheet name="CPCA-II-01" sheetId="67" r:id="rId14"/>
    <sheet name="CPCA-II-02" sheetId="55" r:id="rId15"/>
    <sheet name="CPCA-II-03" sheetId="21" r:id="rId16"/>
    <sheet name="CPCA II-04" sheetId="70" r:id="rId17"/>
    <sheet name="CPCA-II-05" sheetId="71" r:id="rId18"/>
    <sheet name="CPCA-II-06" sheetId="37" r:id="rId19"/>
    <sheet name="CPCA-II-07" sheetId="38" r:id="rId20"/>
    <sheet name="CPCA-II-08" sheetId="61" r:id="rId21"/>
    <sheet name="CPCA-II-09" sheetId="44" r:id="rId22"/>
    <sheet name="CPCA-II-10" sheetId="45" r:id="rId23"/>
    <sheet name="CPCA-II-11" sheetId="72" r:id="rId24"/>
    <sheet name="CPCA-II-12" sheetId="62" r:id="rId25"/>
    <sheet name="CPCA-II-13" sheetId="50" r:id="rId26"/>
    <sheet name="CPCA-II-14" sheetId="65" r:id="rId27"/>
    <sheet name="CPCA-II-15" sheetId="24" r:id="rId28"/>
    <sheet name="CPCA-II-16" sheetId="16" r:id="rId29"/>
    <sheet name="CPCA-II-17" sheetId="19" r:id="rId30"/>
    <sheet name="CPCA-III-01" sheetId="42" r:id="rId31"/>
    <sheet name="CPCA-III-03" sheetId="32" r:id="rId32"/>
    <sheet name="CPCA-III-04" sheetId="81" r:id="rId33"/>
    <sheet name="CPCA-III-05" sheetId="82" r:id="rId34"/>
    <sheet name="CPCA-IV-01" sheetId="20" r:id="rId35"/>
    <sheet name="CPCA-IV-02" sheetId="54" r:id="rId36"/>
    <sheet name="CPCA-IV-03" sheetId="27" r:id="rId37"/>
    <sheet name="CPCA-IV-06" sheetId="90" r:id="rId38"/>
    <sheet name="ANEXO A" sheetId="64" r:id="rId39"/>
    <sheet name="ANEXO B" sheetId="85" r:id="rId40"/>
    <sheet name="ANEXO C" sheetId="96" r:id="rId41"/>
  </sheets>
  <externalReferences>
    <externalReference r:id="rId42"/>
    <externalReference r:id="rId43"/>
    <externalReference r:id="rId44"/>
  </externalReferences>
  <definedNames>
    <definedName name="_xlnm._FilterDatabase" localSheetId="40" hidden="1">'ANEXO C'!$A$3:$W$346</definedName>
    <definedName name="_xlnm._FilterDatabase" localSheetId="1" hidden="1">'CPCA-I-01'!#REF!</definedName>
    <definedName name="_xlnm._FilterDatabase" localSheetId="25" hidden="1">'CPCA-II-13'!$C$7:$I$8</definedName>
    <definedName name="_xlnm._FilterDatabase" localSheetId="37" hidden="1">'CPCA-IV-06'!$C$1:$C$523</definedName>
    <definedName name="_ftn1" localSheetId="3">'CPCA-I-03'!#REF!</definedName>
    <definedName name="_ftn1" localSheetId="37">'CPCA-IV-06'!$A$53</definedName>
    <definedName name="_ftn2" localSheetId="37">'CPCA-IV-06'!#REF!</definedName>
    <definedName name="_ftnref1" localSheetId="3">'CPCA-I-03'!#REF!</definedName>
    <definedName name="_ftnref1" localSheetId="37">'CPCA-IV-06'!$C$28</definedName>
    <definedName name="_ftnref2" localSheetId="37">'CPCA-IV-06'!$C$76</definedName>
    <definedName name="_Toc478717399" localSheetId="0">'Lista  FORMATOS'!#REF!</definedName>
    <definedName name="_xlnm.Print_Area" localSheetId="39">'ANEXO B'!$A$1:$E$81</definedName>
    <definedName name="_xlnm.Print_Area" localSheetId="16">'CPCA II-04'!$A$1:$G$88</definedName>
    <definedName name="_xlnm.Print_Area" localSheetId="1">'CPCA-I-01'!$A$1:$G$59</definedName>
    <definedName name="_xlnm.Print_Area" localSheetId="2">'CPCA-I-02'!$A$1:$G$77</definedName>
    <definedName name="_xlnm.Print_Area" localSheetId="3">'CPCA-I-03'!$A$1:$D$70</definedName>
    <definedName name="_xlnm.Print_Area" localSheetId="4">'CPCA-I-04'!$A$1:$F$50</definedName>
    <definedName name="_xlnm.Print_Area" localSheetId="6">'CPCA-I-06'!$A$1:$D$71</definedName>
    <definedName name="_xlnm.Print_Area" localSheetId="7">'CPCA-I-07'!$A$1:$G$34</definedName>
    <definedName name="_xlnm.Print_Area" localSheetId="8">'CPCA-I-08'!$A$1:$F$48</definedName>
    <definedName name="_xlnm.Print_Area" localSheetId="9">'CPCA-I-09'!$A$1:$I$43</definedName>
    <definedName name="_xlnm.Print_Area" localSheetId="10">'CPCA-I-10'!$A$1:$K$28</definedName>
    <definedName name="_xlnm.Print_Area" localSheetId="11">'CPCA-I-11'!$A$1:$I$51</definedName>
    <definedName name="_xlnm.Print_Area" localSheetId="13">'CPCA-II-01'!$A$1:$H$53</definedName>
    <definedName name="_xlnm.Print_Area" localSheetId="14">'CPCA-II-02'!$A$1:$I$87</definedName>
    <definedName name="_xlnm.Print_Area" localSheetId="15">'CPCA-II-03'!$A$1:$D$35</definedName>
    <definedName name="_xlnm.Print_Area" localSheetId="17">'CPCA-II-05'!$A$1:$H$165</definedName>
    <definedName name="_xlnm.Print_Area" localSheetId="18">'CPCA-II-06'!$A$1:$G$26</definedName>
    <definedName name="_xlnm.Print_Area" localSheetId="19">'CPCA-II-07'!$A$1:$G$37</definedName>
    <definedName name="_xlnm.Print_Area" localSheetId="20">'CPCA-II-08'!$A$1:$G$41</definedName>
    <definedName name="_xlnm.Print_Area" localSheetId="21">'CPCA-II-09'!$A$1:$G$21</definedName>
    <definedName name="_xlnm.Print_Area" localSheetId="22">'CPCA-II-10'!$A$1:$G$27</definedName>
    <definedName name="_xlnm.Print_Area" localSheetId="23">'CPCA-II-11'!$A$1:$G$52</definedName>
    <definedName name="_xlnm.Print_Area" localSheetId="24">'CPCA-II-12'!$A$1:$H$89</definedName>
    <definedName name="_xlnm.Print_Area" localSheetId="26">'CPCA-II-14'!$A$1:$G$39</definedName>
    <definedName name="_xlnm.Print_Area" localSheetId="27">'CPCA-II-15'!$A$1:$C$47</definedName>
    <definedName name="_xlnm.Print_Area" localSheetId="28">'CPCA-II-16'!$A$1:$E$37</definedName>
    <definedName name="_xlnm.Print_Area" localSheetId="29">'CPCA-II-17'!$A$1:$D$38</definedName>
    <definedName name="_xlnm.Print_Area" localSheetId="30">'CPCA-III-01'!$A$1:$G$45</definedName>
    <definedName name="_xlnm.Print_Area" localSheetId="31">'CPCA-III-03'!$A$1:$E$44</definedName>
    <definedName name="_xlnm.Print_Area" localSheetId="34">'CPCA-IV-01'!$A$1:$E$35</definedName>
    <definedName name="_xlnm.Print_Area" localSheetId="35">'CPCA-IV-02'!$A$1:$E$93</definedName>
    <definedName name="_xlnm.Print_Area" localSheetId="36">'CPCA-IV-03'!$A$1:$D$25</definedName>
    <definedName name="_xlnm.Print_Area" localSheetId="37">'CPCA-IV-06'!$A$1:$C$531</definedName>
    <definedName name="_xlnm.Database" localSheetId="38">#REF!</definedName>
    <definedName name="_xlnm.Database" localSheetId="39">#REF!</definedName>
    <definedName name="_xlnm.Database" localSheetId="40">#REF!</definedName>
    <definedName name="_xlnm.Database" localSheetId="11">#REF!</definedName>
    <definedName name="_xlnm.Database" localSheetId="12">#REF!</definedName>
    <definedName name="_xlnm.Database" localSheetId="13">#REF!</definedName>
    <definedName name="_xlnm.Database" localSheetId="15">#REF!</definedName>
    <definedName name="_xlnm.Database" localSheetId="18">#REF!</definedName>
    <definedName name="_xlnm.Database" localSheetId="19">#REF!</definedName>
    <definedName name="_xlnm.Database" localSheetId="25">#REF!</definedName>
    <definedName name="_xlnm.Database" localSheetId="27">#REF!</definedName>
    <definedName name="_xlnm.Database" localSheetId="29">#REF!</definedName>
    <definedName name="_xlnm.Database" localSheetId="31">#REF!</definedName>
    <definedName name="_xlnm.Database" localSheetId="34">#REF!</definedName>
    <definedName name="_xlnm.Database" localSheetId="36">#REF!</definedName>
    <definedName name="_xlnm.Database" localSheetId="37">#REF!</definedName>
    <definedName name="_xlnm.Database" localSheetId="0">#REF!</definedName>
    <definedName name="_xlnm.Database">#REF!</definedName>
    <definedName name="OLE_LINK2" localSheetId="12">'CPCA-I-12 (Notas)'!$A$362</definedName>
    <definedName name="ppto" localSheetId="12">[1]Hoja2!$B$3:$M$95</definedName>
    <definedName name="ppto">[2]Hoja2!$B$3:$M$95</definedName>
    <definedName name="qw" localSheetId="38">#REF!</definedName>
    <definedName name="qw" localSheetId="39">#REF!</definedName>
    <definedName name="qw" localSheetId="40">#REF!</definedName>
    <definedName name="qw" localSheetId="12">#REF!</definedName>
    <definedName name="qw" localSheetId="25">#REF!</definedName>
    <definedName name="qw" localSheetId="37">#REF!</definedName>
    <definedName name="qw" localSheetId="0">#REF!</definedName>
    <definedName name="qw">#REF!</definedName>
    <definedName name="_xlnm.Print_Titles" localSheetId="40">'ANEXO C'!$1:$3</definedName>
    <definedName name="_xlnm.Print_Titles" localSheetId="16">'CPCA II-04'!$1:$8</definedName>
    <definedName name="_xlnm.Print_Titles" localSheetId="2">'CPCA-I-02'!$6:$6</definedName>
    <definedName name="_xlnm.Print_Titles" localSheetId="3">'CPCA-I-03'!$2:$5</definedName>
    <definedName name="_xlnm.Print_Titles" localSheetId="13">'CPCA-II-01'!$1:$5</definedName>
    <definedName name="_xlnm.Print_Titles" localSheetId="14">'CPCA-II-02'!$6:$8</definedName>
    <definedName name="_xlnm.Print_Titles" localSheetId="17">'CPCA-II-05'!$1:$9</definedName>
    <definedName name="_xlnm.Print_Titles" localSheetId="24">'CPCA-II-12'!$7:$8</definedName>
    <definedName name="_xlnm.Print_Titles" localSheetId="25">'CPCA-II-13'!$1:$9</definedName>
    <definedName name="_xlnm.Print_Titles" localSheetId="32">'CPCA-III-04'!$1:$10</definedName>
    <definedName name="_xlnm.Print_Titles" localSheetId="33">'CPCA-III-05'!$7:$8</definedName>
    <definedName name="_xlnm.Print_Titles" localSheetId="35">'CPCA-IV-02'!$1:$5</definedName>
    <definedName name="_xlnm.Print_Titles" localSheetId="37">'CPCA-IV-06'!$1:$6</definedName>
  </definedNames>
  <calcPr calcId="162913"/>
</workbook>
</file>

<file path=xl/calcChain.xml><?xml version="1.0" encoding="utf-8"?>
<calcChain xmlns="http://schemas.openxmlformats.org/spreadsheetml/2006/main">
  <c r="V358" i="96" l="1"/>
  <c r="U358" i="96"/>
  <c r="T358" i="96"/>
  <c r="S358" i="96"/>
  <c r="R358" i="96"/>
  <c r="Q358" i="96"/>
  <c r="P358" i="96"/>
  <c r="I111" i="50"/>
  <c r="I110" i="50"/>
  <c r="I109" i="50"/>
  <c r="I108" i="50"/>
  <c r="H111" i="50"/>
  <c r="H110" i="50"/>
  <c r="H109" i="50"/>
  <c r="H108" i="50"/>
  <c r="H112" i="50"/>
  <c r="G112" i="50"/>
  <c r="F112" i="50"/>
  <c r="E112" i="50"/>
  <c r="D112" i="50"/>
  <c r="C112" i="50"/>
  <c r="I112" i="50" l="1"/>
  <c r="F11" i="6" l="1"/>
  <c r="I107" i="50" l="1"/>
  <c r="I106" i="50"/>
  <c r="I105" i="50"/>
  <c r="I104" i="50"/>
  <c r="I103" i="50"/>
  <c r="I102" i="50"/>
  <c r="I101" i="50"/>
  <c r="I100" i="50"/>
  <c r="I99" i="50"/>
  <c r="I98" i="50"/>
  <c r="I97" i="50"/>
  <c r="I96" i="50"/>
  <c r="I95" i="50"/>
  <c r="I94" i="50"/>
  <c r="I93" i="50"/>
  <c r="I92" i="50"/>
  <c r="I91" i="50"/>
  <c r="I90" i="50"/>
  <c r="I89" i="50"/>
  <c r="I88" i="50"/>
  <c r="I87" i="50"/>
  <c r="I86" i="50"/>
  <c r="I85" i="50"/>
  <c r="I84" i="50"/>
  <c r="I83" i="50"/>
  <c r="I82" i="50"/>
  <c r="I81" i="50"/>
  <c r="I80" i="50"/>
  <c r="I79" i="50"/>
  <c r="I78" i="50"/>
  <c r="I77" i="50"/>
  <c r="I76" i="50"/>
  <c r="I75" i="50"/>
  <c r="I74" i="50"/>
  <c r="I73" i="50"/>
  <c r="I72" i="50"/>
  <c r="I71" i="50"/>
  <c r="I70" i="50"/>
  <c r="I68" i="50"/>
  <c r="I67" i="50"/>
  <c r="I66" i="50"/>
  <c r="I65" i="50"/>
  <c r="I64" i="50"/>
  <c r="I63" i="50"/>
  <c r="I62" i="50"/>
  <c r="I61" i="50"/>
  <c r="I60" i="50"/>
  <c r="I59" i="50"/>
  <c r="I58" i="50"/>
  <c r="I57" i="50"/>
  <c r="I56" i="50"/>
  <c r="I55" i="50"/>
  <c r="I54" i="50"/>
  <c r="I53" i="50"/>
  <c r="I52" i="50"/>
  <c r="I51" i="50"/>
  <c r="I47" i="50"/>
  <c r="I46" i="50"/>
  <c r="I45" i="50"/>
  <c r="I44" i="50"/>
  <c r="I43" i="50"/>
  <c r="I42" i="50"/>
  <c r="I41" i="50"/>
  <c r="I40" i="50"/>
  <c r="I39" i="50"/>
  <c r="I38" i="50"/>
  <c r="I37" i="50"/>
  <c r="I36" i="50"/>
  <c r="I35" i="50"/>
  <c r="I34" i="50"/>
  <c r="I33" i="50"/>
  <c r="I29" i="50"/>
  <c r="I28" i="50"/>
  <c r="I27" i="50"/>
  <c r="I26" i="50"/>
  <c r="I25" i="50"/>
  <c r="I24" i="50"/>
  <c r="I23" i="50"/>
  <c r="I22" i="50"/>
  <c r="I21" i="50"/>
  <c r="I20" i="50"/>
  <c r="I19" i="50"/>
  <c r="I18" i="50"/>
  <c r="I17" i="50"/>
  <c r="I16" i="50"/>
  <c r="I15" i="50"/>
  <c r="I14" i="50"/>
  <c r="I13" i="50"/>
  <c r="I12" i="50"/>
  <c r="I11" i="50"/>
  <c r="H107" i="50"/>
  <c r="H106" i="50"/>
  <c r="H105" i="50"/>
  <c r="H104" i="50"/>
  <c r="H103" i="50"/>
  <c r="H102" i="50"/>
  <c r="H101" i="50"/>
  <c r="H100" i="50"/>
  <c r="H99" i="50"/>
  <c r="H98" i="50"/>
  <c r="H97" i="50"/>
  <c r="H96" i="50"/>
  <c r="H95" i="50"/>
  <c r="H94" i="50"/>
  <c r="H93" i="50"/>
  <c r="H92" i="50"/>
  <c r="H91" i="50"/>
  <c r="H90" i="50"/>
  <c r="H89" i="50"/>
  <c r="H88" i="50"/>
  <c r="H87"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C50" i="71" l="1"/>
  <c r="B53" i="51" l="1"/>
  <c r="B52" i="51"/>
  <c r="C215" i="90" l="1"/>
  <c r="C218" i="90"/>
  <c r="C217" i="90"/>
  <c r="C146" i="90" l="1"/>
  <c r="C145" i="90"/>
  <c r="C144" i="90"/>
  <c r="B12" i="24"/>
  <c r="F192" i="86" s="1"/>
  <c r="B13" i="24"/>
  <c r="F193" i="86" s="1"/>
  <c r="B17" i="24"/>
  <c r="C210" i="90" l="1"/>
  <c r="D35" i="70"/>
  <c r="G64" i="51" l="1"/>
  <c r="G65" i="51"/>
  <c r="G68" i="51"/>
  <c r="C17" i="70" l="1"/>
  <c r="B8" i="74" l="1"/>
  <c r="F194" i="86" l="1"/>
  <c r="F191" i="86" s="1"/>
  <c r="B34" i="24"/>
  <c r="F196" i="86" s="1"/>
  <c r="F195" i="86" s="1"/>
  <c r="G51" i="71"/>
  <c r="F51" i="71"/>
  <c r="D51" i="71"/>
  <c r="F47" i="70"/>
  <c r="E47" i="70"/>
  <c r="C47" i="70"/>
  <c r="I10" i="50" l="1"/>
  <c r="C32" i="38" l="1"/>
  <c r="C425" i="90" l="1"/>
  <c r="C424" i="90"/>
  <c r="C423" i="90"/>
  <c r="C422" i="90"/>
  <c r="C421" i="90"/>
  <c r="C419" i="90"/>
  <c r="C420" i="90"/>
  <c r="C306" i="90"/>
  <c r="C305" i="90"/>
  <c r="C304" i="90"/>
  <c r="C303" i="90"/>
  <c r="C302" i="90"/>
  <c r="C300" i="90"/>
  <c r="C301" i="90"/>
  <c r="A1" i="90" l="1"/>
  <c r="C479" i="90"/>
  <c r="C478" i="90"/>
  <c r="C477" i="90"/>
  <c r="C476" i="90"/>
  <c r="C475" i="90"/>
  <c r="C474" i="90"/>
  <c r="C473" i="90"/>
  <c r="C471" i="90"/>
  <c r="C472" i="90"/>
  <c r="C463" i="90"/>
  <c r="C462" i="90"/>
  <c r="C439" i="90"/>
  <c r="C436" i="90"/>
  <c r="C435" i="90"/>
  <c r="C434" i="90"/>
  <c r="C433" i="90"/>
  <c r="C317" i="90"/>
  <c r="C316" i="90"/>
  <c r="C314" i="90"/>
  <c r="C315" i="90"/>
  <c r="C320" i="90"/>
  <c r="C362" i="90"/>
  <c r="C361" i="90"/>
  <c r="C360" i="90"/>
  <c r="C359" i="90"/>
  <c r="C358" i="90"/>
  <c r="C357" i="90"/>
  <c r="C356" i="90"/>
  <c r="C355" i="90"/>
  <c r="C354" i="90"/>
  <c r="C72" i="90"/>
  <c r="C71" i="90" s="1"/>
  <c r="C53" i="90"/>
  <c r="C52" i="90" s="1"/>
  <c r="B1" i="90"/>
  <c r="C142" i="90" l="1"/>
  <c r="C137" i="90"/>
  <c r="C383" i="90"/>
  <c r="C410" i="90" s="1"/>
  <c r="C289" i="90"/>
  <c r="B51" i="51" l="1"/>
  <c r="F162" i="86" l="1"/>
  <c r="E161" i="86" l="1"/>
  <c r="E157" i="86"/>
  <c r="E156" i="86"/>
  <c r="G135" i="86"/>
  <c r="G132" i="86"/>
  <c r="G131" i="86"/>
  <c r="G128" i="86"/>
  <c r="F135" i="86"/>
  <c r="F132" i="86"/>
  <c r="F131" i="86"/>
  <c r="F128" i="86"/>
  <c r="E162" i="86" l="1"/>
  <c r="D31" i="80" l="1"/>
  <c r="C31" i="80" s="1"/>
  <c r="D18" i="70" l="1"/>
  <c r="D19" i="70"/>
  <c r="D20" i="70"/>
  <c r="D21" i="70"/>
  <c r="D22" i="70"/>
  <c r="D23" i="70"/>
  <c r="D24" i="70"/>
  <c r="D25" i="70"/>
  <c r="D26" i="70"/>
  <c r="D30" i="80" l="1"/>
  <c r="A1" i="21" l="1"/>
  <c r="A1" i="70" s="1"/>
  <c r="A1" i="55"/>
  <c r="A1" i="67"/>
  <c r="A1" i="26"/>
  <c r="A1" i="53"/>
  <c r="A1" i="52"/>
  <c r="A1" i="75"/>
  <c r="A1" i="6"/>
  <c r="A1" i="23"/>
  <c r="A1" i="74"/>
  <c r="A1" i="1"/>
  <c r="D10" i="70" l="1"/>
  <c r="D11" i="70"/>
  <c r="G11" i="70" s="1"/>
  <c r="D12" i="70"/>
  <c r="G12" i="70" s="1"/>
  <c r="D13" i="70"/>
  <c r="G13" i="70" s="1"/>
  <c r="D14" i="70"/>
  <c r="G14" i="70" s="1"/>
  <c r="D15" i="70"/>
  <c r="G15" i="70" s="1"/>
  <c r="D16" i="70"/>
  <c r="G16" i="70" s="1"/>
  <c r="G116" i="86"/>
  <c r="D9" i="70" l="1"/>
  <c r="G10" i="70"/>
  <c r="G9" i="70" s="1"/>
  <c r="F65" i="51"/>
  <c r="F68" i="51"/>
  <c r="G50" i="71" l="1"/>
  <c r="F50" i="71"/>
  <c r="D50" i="71"/>
  <c r="C14" i="21"/>
  <c r="E21" i="86" l="1"/>
  <c r="F181" i="86" l="1"/>
  <c r="G114" i="86"/>
  <c r="G113" i="86"/>
  <c r="G112" i="86"/>
  <c r="G117" i="86" l="1"/>
  <c r="F81" i="86"/>
  <c r="D86" i="86" s="1"/>
  <c r="F79" i="86"/>
  <c r="E86" i="86" s="1"/>
  <c r="F78" i="86"/>
  <c r="F77" i="86"/>
  <c r="B86" i="86" l="1"/>
  <c r="F36" i="86"/>
  <c r="E42" i="86" s="1"/>
  <c r="F35" i="86"/>
  <c r="F34" i="86"/>
  <c r="C42" i="86" s="1"/>
  <c r="F33" i="86"/>
  <c r="E22" i="86"/>
  <c r="E20" i="86"/>
  <c r="D42" i="86" l="1"/>
  <c r="F86" i="86"/>
  <c r="D34" i="80" l="1"/>
  <c r="B8" i="80" l="1"/>
  <c r="D12" i="80"/>
  <c r="C16" i="80"/>
  <c r="C13" i="80"/>
  <c r="F16" i="61" l="1"/>
  <c r="E16" i="61"/>
  <c r="F15" i="61"/>
  <c r="E15" i="61"/>
  <c r="F14" i="61"/>
  <c r="E14" i="61"/>
  <c r="F13" i="61"/>
  <c r="E13" i="61"/>
  <c r="F12" i="61"/>
  <c r="E12" i="61"/>
  <c r="C16" i="61"/>
  <c r="C15" i="61"/>
  <c r="C14" i="61"/>
  <c r="C13" i="61"/>
  <c r="C12" i="61"/>
  <c r="B16" i="61"/>
  <c r="B15" i="61"/>
  <c r="B14" i="61"/>
  <c r="B13" i="61"/>
  <c r="B12" i="61"/>
  <c r="F11" i="61"/>
  <c r="E11" i="61"/>
  <c r="C11" i="61"/>
  <c r="B11" i="61"/>
  <c r="A16" i="61"/>
  <c r="A15" i="61"/>
  <c r="A14" i="61"/>
  <c r="A13" i="61"/>
  <c r="A12" i="61"/>
  <c r="A11" i="61"/>
  <c r="G55" i="71"/>
  <c r="F55" i="71"/>
  <c r="D55" i="71"/>
  <c r="C55" i="71"/>
  <c r="G38" i="71"/>
  <c r="F38" i="71"/>
  <c r="G37" i="71"/>
  <c r="F37" i="71"/>
  <c r="G36" i="71"/>
  <c r="F36" i="71"/>
  <c r="G35" i="71"/>
  <c r="F35" i="71"/>
  <c r="G34" i="71"/>
  <c r="F34" i="71"/>
  <c r="G33" i="71"/>
  <c r="F33" i="71"/>
  <c r="G32" i="71"/>
  <c r="F32" i="71"/>
  <c r="G31" i="71"/>
  <c r="F31" i="71"/>
  <c r="G30" i="71"/>
  <c r="F30" i="71"/>
  <c r="D38" i="71"/>
  <c r="D37" i="71"/>
  <c r="D36" i="71"/>
  <c r="D35" i="71"/>
  <c r="D34" i="71"/>
  <c r="D33" i="71"/>
  <c r="D32" i="71"/>
  <c r="D31" i="71"/>
  <c r="D30" i="71"/>
  <c r="C38" i="71"/>
  <c r="C37" i="71"/>
  <c r="C36" i="71"/>
  <c r="C35" i="71"/>
  <c r="C34" i="71"/>
  <c r="C33" i="71"/>
  <c r="C32" i="71"/>
  <c r="C31" i="71"/>
  <c r="C30" i="71"/>
  <c r="G28" i="71"/>
  <c r="F28" i="71"/>
  <c r="G27" i="71"/>
  <c r="F27" i="71"/>
  <c r="G26" i="71"/>
  <c r="F26" i="71"/>
  <c r="G25" i="71"/>
  <c r="F25" i="71"/>
  <c r="G24" i="71"/>
  <c r="F24" i="71"/>
  <c r="G23" i="71"/>
  <c r="F23" i="71"/>
  <c r="G22" i="71"/>
  <c r="F22" i="71"/>
  <c r="G21" i="71"/>
  <c r="F21" i="71"/>
  <c r="G20" i="71"/>
  <c r="F20" i="71"/>
  <c r="D28" i="71"/>
  <c r="D27" i="71"/>
  <c r="D26" i="71"/>
  <c r="D25" i="71"/>
  <c r="D24" i="71"/>
  <c r="D23" i="71"/>
  <c r="D22" i="71"/>
  <c r="D21" i="71"/>
  <c r="D20" i="71"/>
  <c r="C28" i="71"/>
  <c r="C27" i="71"/>
  <c r="C26" i="71"/>
  <c r="C25" i="71"/>
  <c r="C24" i="71"/>
  <c r="C23" i="71"/>
  <c r="C22" i="71"/>
  <c r="C21" i="71"/>
  <c r="C20" i="71"/>
  <c r="G18" i="71"/>
  <c r="F18" i="71"/>
  <c r="G17" i="71"/>
  <c r="F17" i="71"/>
  <c r="G16" i="71"/>
  <c r="F16" i="71"/>
  <c r="G15" i="71"/>
  <c r="F15" i="71"/>
  <c r="G14" i="71"/>
  <c r="F14" i="71"/>
  <c r="G13" i="71"/>
  <c r="F13" i="71"/>
  <c r="G12" i="71"/>
  <c r="F12" i="71"/>
  <c r="D18" i="71"/>
  <c r="D17" i="71"/>
  <c r="D16" i="71"/>
  <c r="D15" i="71"/>
  <c r="D14" i="71"/>
  <c r="D13" i="71"/>
  <c r="D12" i="71"/>
  <c r="C18" i="71"/>
  <c r="C17" i="71"/>
  <c r="C16" i="71"/>
  <c r="C15" i="71"/>
  <c r="C14" i="71"/>
  <c r="C13" i="71"/>
  <c r="C12" i="71"/>
  <c r="D28" i="70"/>
  <c r="D29" i="70"/>
  <c r="D30" i="70"/>
  <c r="D31" i="70"/>
  <c r="D32" i="70"/>
  <c r="D33" i="70"/>
  <c r="D34" i="70"/>
  <c r="D36" i="70"/>
  <c r="G37" i="55"/>
  <c r="E37" i="55"/>
  <c r="D37" i="55"/>
  <c r="G17" i="55"/>
  <c r="E17" i="55"/>
  <c r="D17" i="55"/>
  <c r="F40" i="67"/>
  <c r="D40" i="67"/>
  <c r="C40" i="67"/>
  <c r="F39" i="67"/>
  <c r="D39" i="67"/>
  <c r="C39" i="67"/>
  <c r="G18" i="67"/>
  <c r="H37" i="55" s="1"/>
  <c r="G16" i="67"/>
  <c r="H17" i="55" s="1"/>
  <c r="G40" i="67" l="1"/>
  <c r="G39" i="67"/>
  <c r="G369" i="86"/>
  <c r="E369" i="86"/>
  <c r="D369" i="86"/>
  <c r="C369" i="86"/>
  <c r="G211" i="86"/>
  <c r="G111" i="86"/>
  <c r="F83" i="86"/>
  <c r="F75" i="86"/>
  <c r="A73" i="86"/>
  <c r="A97" i="86" s="1"/>
  <c r="F37" i="86"/>
  <c r="F31" i="86"/>
  <c r="E23" i="86"/>
  <c r="F369" i="86" l="1"/>
  <c r="F64" i="51"/>
  <c r="E14" i="21" l="1"/>
  <c r="E13" i="21"/>
  <c r="E12" i="21"/>
  <c r="E10" i="21"/>
  <c r="D75" i="85"/>
  <c r="F75" i="85" s="1"/>
  <c r="D61" i="85"/>
  <c r="F61" i="85" s="1"/>
  <c r="D47" i="85"/>
  <c r="F47" i="85" s="1"/>
  <c r="D30" i="85"/>
  <c r="F30" i="85" s="1"/>
  <c r="D56" i="23" l="1"/>
  <c r="D55" i="23" s="1"/>
  <c r="C56" i="23"/>
  <c r="C55" i="23" s="1"/>
  <c r="D51" i="23"/>
  <c r="D50" i="23" s="1"/>
  <c r="C51" i="23"/>
  <c r="C50" i="23" s="1"/>
  <c r="D19" i="23" l="1"/>
  <c r="C19" i="23"/>
  <c r="D8" i="23"/>
  <c r="C8" i="23"/>
  <c r="C36" i="23" l="1"/>
  <c r="G26" i="67"/>
  <c r="F26" i="67"/>
  <c r="D26" i="67"/>
  <c r="C26" i="67"/>
  <c r="G20" i="67"/>
  <c r="E11" i="20" s="1"/>
  <c r="E11" i="54" s="1"/>
  <c r="F20" i="67"/>
  <c r="D11" i="20" s="1"/>
  <c r="D11" i="54" s="1"/>
  <c r="D20" i="67"/>
  <c r="C20" i="67"/>
  <c r="C11" i="20" s="1"/>
  <c r="C11" i="54" s="1"/>
  <c r="F10" i="42" l="1"/>
  <c r="E10" i="42"/>
  <c r="C10" i="42"/>
  <c r="B10" i="42"/>
  <c r="D10" i="42" l="1"/>
  <c r="G10" i="42" s="1"/>
  <c r="A3" i="80"/>
  <c r="F38" i="80" l="1"/>
  <c r="F37" i="80"/>
  <c r="E36" i="80"/>
  <c r="F36" i="80" s="1"/>
  <c r="F34" i="80"/>
  <c r="F33" i="80"/>
  <c r="F32" i="80"/>
  <c r="F31" i="80"/>
  <c r="F30" i="80"/>
  <c r="D29" i="80"/>
  <c r="C29" i="80"/>
  <c r="F27" i="80"/>
  <c r="F26" i="80"/>
  <c r="F25" i="80"/>
  <c r="B24" i="80"/>
  <c r="F24" i="80" s="1"/>
  <c r="F20" i="80"/>
  <c r="F19" i="80"/>
  <c r="E18" i="80"/>
  <c r="F18" i="80" s="1"/>
  <c r="F16" i="80"/>
  <c r="F15" i="80"/>
  <c r="F14" i="80"/>
  <c r="F13" i="80"/>
  <c r="F12" i="80"/>
  <c r="D11" i="80"/>
  <c r="C11" i="80"/>
  <c r="C22" i="80" s="1"/>
  <c r="F9" i="80"/>
  <c r="F8" i="80"/>
  <c r="F7" i="80"/>
  <c r="B6" i="80"/>
  <c r="B22" i="80" s="1"/>
  <c r="C40" i="80" l="1"/>
  <c r="F29" i="80"/>
  <c r="E22" i="80"/>
  <c r="E40" i="80" s="1"/>
  <c r="F11" i="80"/>
  <c r="B40" i="80"/>
  <c r="D22" i="80"/>
  <c r="D40" i="80" s="1"/>
  <c r="F6" i="80"/>
  <c r="F40" i="80" l="1"/>
  <c r="F22" i="80"/>
  <c r="A5" i="50" l="1"/>
  <c r="A5" i="62"/>
  <c r="H21" i="44"/>
  <c r="A5" i="61"/>
  <c r="A4" i="52"/>
  <c r="F29" i="75"/>
  <c r="E29" i="75"/>
  <c r="F24" i="75"/>
  <c r="E24" i="75"/>
  <c r="F15" i="75"/>
  <c r="E15" i="75"/>
  <c r="F10" i="75"/>
  <c r="E10" i="75"/>
  <c r="A4" i="75"/>
  <c r="A4" i="74"/>
  <c r="C53" i="74"/>
  <c r="C48" i="74"/>
  <c r="B48" i="74"/>
  <c r="C39" i="74"/>
  <c r="B39" i="74"/>
  <c r="C29" i="74"/>
  <c r="B29" i="74"/>
  <c r="C17" i="74"/>
  <c r="B17" i="74"/>
  <c r="C8" i="74"/>
  <c r="C47" i="74" l="1"/>
  <c r="C7" i="74"/>
  <c r="B7" i="74"/>
  <c r="E21" i="75"/>
  <c r="E35" i="75"/>
  <c r="B28" i="74"/>
  <c r="E171" i="86" s="1"/>
  <c r="F21" i="75"/>
  <c r="F35" i="75"/>
  <c r="C28" i="74"/>
  <c r="A5" i="65"/>
  <c r="C60" i="74" l="1"/>
  <c r="E172" i="86"/>
  <c r="D44" i="72"/>
  <c r="G44" i="72" s="1"/>
  <c r="D43" i="72"/>
  <c r="G43" i="72" s="1"/>
  <c r="D42" i="72"/>
  <c r="G42" i="72" s="1"/>
  <c r="D41" i="72"/>
  <c r="G41" i="72" s="1"/>
  <c r="F40" i="72"/>
  <c r="E40" i="72"/>
  <c r="C40" i="72"/>
  <c r="B40" i="72"/>
  <c r="G39" i="72"/>
  <c r="D39" i="72"/>
  <c r="D38" i="72"/>
  <c r="G38" i="72" s="1"/>
  <c r="D37" i="72"/>
  <c r="G37" i="72" s="1"/>
  <c r="D36" i="72"/>
  <c r="G36" i="72" s="1"/>
  <c r="D35" i="72"/>
  <c r="G35" i="72" s="1"/>
  <c r="D34" i="72"/>
  <c r="G34" i="72" s="1"/>
  <c r="D33" i="72"/>
  <c r="G33" i="72" s="1"/>
  <c r="D32" i="72"/>
  <c r="G32" i="72" s="1"/>
  <c r="D31" i="72"/>
  <c r="G31" i="72" s="1"/>
  <c r="D30" i="72"/>
  <c r="G30" i="72" s="1"/>
  <c r="F29" i="72"/>
  <c r="E29" i="72"/>
  <c r="C29" i="72"/>
  <c r="B29" i="72"/>
  <c r="G28" i="72"/>
  <c r="D28" i="72"/>
  <c r="D27" i="72"/>
  <c r="G27" i="72" s="1"/>
  <c r="D26" i="72"/>
  <c r="G26" i="72" s="1"/>
  <c r="D25" i="72"/>
  <c r="G25" i="72" s="1"/>
  <c r="D23" i="72"/>
  <c r="G23" i="72" s="1"/>
  <c r="D22" i="72"/>
  <c r="G22" i="72" s="1"/>
  <c r="D21" i="72"/>
  <c r="G21" i="72" s="1"/>
  <c r="G19" i="72"/>
  <c r="D19" i="72"/>
  <c r="D18" i="72"/>
  <c r="G18" i="72" s="1"/>
  <c r="D17" i="72"/>
  <c r="G17" i="72" s="1"/>
  <c r="D16" i="72"/>
  <c r="G16" i="72" s="1"/>
  <c r="D15" i="72"/>
  <c r="G15" i="72" s="1"/>
  <c r="D14" i="72"/>
  <c r="G14" i="72" s="1"/>
  <c r="D13" i="72"/>
  <c r="G13" i="72" s="1"/>
  <c r="D12" i="72"/>
  <c r="G12" i="72" s="1"/>
  <c r="D11" i="72"/>
  <c r="G11" i="72" s="1"/>
  <c r="F10" i="72"/>
  <c r="E10" i="72"/>
  <c r="C10" i="72"/>
  <c r="B10" i="72"/>
  <c r="A5" i="72"/>
  <c r="E158" i="71"/>
  <c r="E157" i="71"/>
  <c r="H157" i="71" s="1"/>
  <c r="E156" i="71"/>
  <c r="H156" i="71" s="1"/>
  <c r="E155" i="71"/>
  <c r="H155" i="71" s="1"/>
  <c r="E154" i="71"/>
  <c r="H154" i="71" s="1"/>
  <c r="E153" i="71"/>
  <c r="E152" i="71"/>
  <c r="H152" i="71" s="1"/>
  <c r="E151" i="71"/>
  <c r="H151" i="71" s="1"/>
  <c r="G150" i="71"/>
  <c r="F150" i="71"/>
  <c r="D150" i="71"/>
  <c r="C150" i="71"/>
  <c r="E149" i="71"/>
  <c r="H149" i="71" s="1"/>
  <c r="E148" i="71"/>
  <c r="H148" i="71" s="1"/>
  <c r="E147" i="71"/>
  <c r="G146" i="71"/>
  <c r="F146" i="71"/>
  <c r="D146" i="71"/>
  <c r="C146" i="71"/>
  <c r="E145" i="71"/>
  <c r="H145" i="71" s="1"/>
  <c r="E144" i="71"/>
  <c r="H144" i="71" s="1"/>
  <c r="E143" i="71"/>
  <c r="H143" i="71" s="1"/>
  <c r="E142" i="71"/>
  <c r="H142" i="71" s="1"/>
  <c r="E141" i="71"/>
  <c r="E140" i="71"/>
  <c r="H140" i="71" s="1"/>
  <c r="E139" i="71"/>
  <c r="H139" i="71" s="1"/>
  <c r="E138" i="71"/>
  <c r="H138" i="71" s="1"/>
  <c r="G137" i="71"/>
  <c r="F137" i="71"/>
  <c r="D137" i="71"/>
  <c r="C137" i="71"/>
  <c r="E136" i="71"/>
  <c r="H136" i="71" s="1"/>
  <c r="E135" i="71"/>
  <c r="H135" i="71" s="1"/>
  <c r="E134" i="71"/>
  <c r="H134" i="71" s="1"/>
  <c r="G133" i="71"/>
  <c r="F133" i="71"/>
  <c r="D133" i="71"/>
  <c r="C133" i="71"/>
  <c r="E132" i="71"/>
  <c r="H132" i="71" s="1"/>
  <c r="E131" i="71"/>
  <c r="H131" i="71" s="1"/>
  <c r="E130" i="71"/>
  <c r="H130" i="71" s="1"/>
  <c r="E129" i="71"/>
  <c r="H129" i="71" s="1"/>
  <c r="E128" i="71"/>
  <c r="H128" i="71" s="1"/>
  <c r="E127" i="71"/>
  <c r="H127" i="71" s="1"/>
  <c r="E126" i="71"/>
  <c r="H126" i="71" s="1"/>
  <c r="E125" i="71"/>
  <c r="H125" i="71" s="1"/>
  <c r="E124" i="71"/>
  <c r="H124" i="71" s="1"/>
  <c r="G123" i="71"/>
  <c r="F123" i="71"/>
  <c r="D123" i="71"/>
  <c r="C123" i="71"/>
  <c r="E122" i="71"/>
  <c r="H122" i="71" s="1"/>
  <c r="E121" i="71"/>
  <c r="H121" i="71" s="1"/>
  <c r="E120" i="71"/>
  <c r="H120" i="71" s="1"/>
  <c r="E119" i="71"/>
  <c r="H119" i="71" s="1"/>
  <c r="E118" i="71"/>
  <c r="H118" i="71" s="1"/>
  <c r="E117" i="71"/>
  <c r="H117" i="71" s="1"/>
  <c r="E116" i="71"/>
  <c r="H116" i="71" s="1"/>
  <c r="E115" i="71"/>
  <c r="H115" i="71" s="1"/>
  <c r="E114" i="71"/>
  <c r="H114" i="71" s="1"/>
  <c r="G113" i="71"/>
  <c r="F113" i="71"/>
  <c r="D113" i="71"/>
  <c r="C113" i="71"/>
  <c r="E112" i="71"/>
  <c r="H112" i="71" s="1"/>
  <c r="E111" i="71"/>
  <c r="H111" i="71" s="1"/>
  <c r="E110" i="71"/>
  <c r="H110" i="71" s="1"/>
  <c r="E109" i="71"/>
  <c r="H109" i="71" s="1"/>
  <c r="E108" i="71"/>
  <c r="H108" i="71" s="1"/>
  <c r="E107" i="71"/>
  <c r="H107" i="71" s="1"/>
  <c r="E106" i="71"/>
  <c r="H106" i="71" s="1"/>
  <c r="E105" i="71"/>
  <c r="H105" i="71" s="1"/>
  <c r="E104" i="71"/>
  <c r="H104" i="71" s="1"/>
  <c r="G103" i="71"/>
  <c r="F103" i="71"/>
  <c r="D103" i="71"/>
  <c r="C103" i="71"/>
  <c r="E102" i="71"/>
  <c r="H102" i="71" s="1"/>
  <c r="E101" i="71"/>
  <c r="H101" i="71" s="1"/>
  <c r="E100" i="71"/>
  <c r="H100" i="71" s="1"/>
  <c r="E99" i="71"/>
  <c r="H99" i="71" s="1"/>
  <c r="E98" i="71"/>
  <c r="H98" i="71" s="1"/>
  <c r="E97" i="71"/>
  <c r="H97" i="71" s="1"/>
  <c r="E96" i="71"/>
  <c r="H96" i="71" s="1"/>
  <c r="E95" i="71"/>
  <c r="H95" i="71" s="1"/>
  <c r="E94" i="71"/>
  <c r="H94" i="71" s="1"/>
  <c r="G93" i="71"/>
  <c r="F93" i="71"/>
  <c r="D93" i="71"/>
  <c r="C93" i="71"/>
  <c r="E92" i="71"/>
  <c r="H92" i="71" s="1"/>
  <c r="E91" i="71"/>
  <c r="H91" i="71" s="1"/>
  <c r="E90" i="71"/>
  <c r="H90" i="71" s="1"/>
  <c r="E89" i="71"/>
  <c r="E88" i="71"/>
  <c r="H88" i="71" s="1"/>
  <c r="E87" i="71"/>
  <c r="H87" i="71" s="1"/>
  <c r="E86" i="71"/>
  <c r="H86" i="71" s="1"/>
  <c r="G85" i="71"/>
  <c r="F85" i="71"/>
  <c r="D85" i="71"/>
  <c r="C85" i="71"/>
  <c r="E83" i="71"/>
  <c r="H83" i="71" s="1"/>
  <c r="E82" i="71"/>
  <c r="H82" i="71" s="1"/>
  <c r="E81" i="71"/>
  <c r="H81" i="71" s="1"/>
  <c r="E80" i="71"/>
  <c r="H80" i="71" s="1"/>
  <c r="E79" i="71"/>
  <c r="H79" i="71" s="1"/>
  <c r="E78" i="71"/>
  <c r="H78" i="71" s="1"/>
  <c r="E77" i="71"/>
  <c r="H77" i="71" s="1"/>
  <c r="G76" i="71"/>
  <c r="F76" i="71"/>
  <c r="D76" i="71"/>
  <c r="C76" i="71"/>
  <c r="E75" i="71"/>
  <c r="H75" i="71" s="1"/>
  <c r="E74" i="71"/>
  <c r="H74" i="71" s="1"/>
  <c r="E73" i="71"/>
  <c r="H73" i="71" s="1"/>
  <c r="G72" i="71"/>
  <c r="F72" i="71"/>
  <c r="D72" i="71"/>
  <c r="C72" i="71"/>
  <c r="E71" i="71"/>
  <c r="H71" i="71" s="1"/>
  <c r="E70" i="71"/>
  <c r="H70" i="71" s="1"/>
  <c r="E69" i="71"/>
  <c r="H69" i="71" s="1"/>
  <c r="E68" i="71"/>
  <c r="H68" i="71" s="1"/>
  <c r="E67" i="71"/>
  <c r="H67" i="71" s="1"/>
  <c r="E66" i="71"/>
  <c r="H66" i="71" s="1"/>
  <c r="E65" i="71"/>
  <c r="H65" i="71" s="1"/>
  <c r="E64" i="71"/>
  <c r="H64" i="71" s="1"/>
  <c r="G63" i="71"/>
  <c r="F63" i="71"/>
  <c r="D63" i="71"/>
  <c r="C63" i="71"/>
  <c r="E62" i="71"/>
  <c r="H62" i="71" s="1"/>
  <c r="E61" i="71"/>
  <c r="H61" i="71" s="1"/>
  <c r="E60" i="71"/>
  <c r="H60" i="71" s="1"/>
  <c r="G59" i="71"/>
  <c r="F59" i="71"/>
  <c r="D59" i="71"/>
  <c r="C59" i="71"/>
  <c r="E58" i="71"/>
  <c r="H58" i="71" s="1"/>
  <c r="E57" i="71"/>
  <c r="H57" i="71" s="1"/>
  <c r="E56" i="71"/>
  <c r="H56" i="71" s="1"/>
  <c r="E55" i="71"/>
  <c r="H55" i="71" s="1"/>
  <c r="E54" i="71"/>
  <c r="H54" i="71" s="1"/>
  <c r="E53" i="71"/>
  <c r="E52" i="71"/>
  <c r="H52" i="71" s="1"/>
  <c r="E51" i="71"/>
  <c r="H51" i="71" s="1"/>
  <c r="E50" i="71"/>
  <c r="H50" i="71" s="1"/>
  <c r="G49" i="71"/>
  <c r="F10" i="37" s="1"/>
  <c r="F49" i="71"/>
  <c r="E10" i="37" s="1"/>
  <c r="D49" i="71"/>
  <c r="C10" i="37" s="1"/>
  <c r="C49" i="71"/>
  <c r="B10" i="37" s="1"/>
  <c r="E48" i="71"/>
  <c r="H48" i="71" s="1"/>
  <c r="E47" i="71"/>
  <c r="H47" i="71" s="1"/>
  <c r="E46" i="71"/>
  <c r="H46" i="71" s="1"/>
  <c r="E45" i="71"/>
  <c r="H45" i="71" s="1"/>
  <c r="E44" i="71"/>
  <c r="H44" i="71" s="1"/>
  <c r="E43" i="71"/>
  <c r="E42" i="71"/>
  <c r="H42" i="71" s="1"/>
  <c r="E41" i="71"/>
  <c r="H41" i="71" s="1"/>
  <c r="E40" i="71"/>
  <c r="H40" i="71" s="1"/>
  <c r="G39" i="71"/>
  <c r="F39" i="71"/>
  <c r="D39" i="71"/>
  <c r="C39" i="71"/>
  <c r="E38" i="71"/>
  <c r="H38" i="71" s="1"/>
  <c r="E37" i="71"/>
  <c r="H37" i="71" s="1"/>
  <c r="E36" i="71"/>
  <c r="H36" i="71" s="1"/>
  <c r="E35" i="71"/>
  <c r="H35" i="71" s="1"/>
  <c r="E34" i="71"/>
  <c r="H34" i="71" s="1"/>
  <c r="E33" i="71"/>
  <c r="E32" i="71"/>
  <c r="H32" i="71" s="1"/>
  <c r="E31" i="71"/>
  <c r="H31" i="71" s="1"/>
  <c r="E30" i="71"/>
  <c r="H30" i="71" s="1"/>
  <c r="G29" i="71"/>
  <c r="F29" i="71"/>
  <c r="D29" i="71"/>
  <c r="C29" i="71"/>
  <c r="E28" i="71"/>
  <c r="H28" i="71" s="1"/>
  <c r="E27" i="71"/>
  <c r="H27" i="71" s="1"/>
  <c r="E26" i="71"/>
  <c r="H26" i="71" s="1"/>
  <c r="E25" i="71"/>
  <c r="H25" i="71" s="1"/>
  <c r="E24" i="71"/>
  <c r="H24" i="71" s="1"/>
  <c r="E23" i="71"/>
  <c r="E22" i="71"/>
  <c r="H22" i="71" s="1"/>
  <c r="E21" i="71"/>
  <c r="H21" i="71" s="1"/>
  <c r="E20" i="71"/>
  <c r="H20" i="71" s="1"/>
  <c r="G19" i="71"/>
  <c r="F19" i="71"/>
  <c r="D19" i="71"/>
  <c r="C19" i="71"/>
  <c r="E18" i="71"/>
  <c r="H18" i="71" s="1"/>
  <c r="E17" i="71"/>
  <c r="H17" i="71" s="1"/>
  <c r="E16" i="71"/>
  <c r="H16" i="71" s="1"/>
  <c r="E15" i="71"/>
  <c r="H15" i="71" s="1"/>
  <c r="E14" i="71"/>
  <c r="H14" i="71" s="1"/>
  <c r="E13" i="71"/>
  <c r="H13" i="71" s="1"/>
  <c r="E12" i="71"/>
  <c r="H12" i="71" s="1"/>
  <c r="G11" i="71"/>
  <c r="F11" i="71"/>
  <c r="D11" i="71"/>
  <c r="C11" i="71"/>
  <c r="B9" i="37" l="1"/>
  <c r="B10" i="65"/>
  <c r="F10" i="65"/>
  <c r="F9" i="37"/>
  <c r="E10" i="65"/>
  <c r="E9" i="37"/>
  <c r="C10" i="65"/>
  <c r="C9" i="37"/>
  <c r="D29" i="72"/>
  <c r="G29" i="72" s="1"/>
  <c r="D10" i="72"/>
  <c r="G10" i="72" s="1"/>
  <c r="F10" i="71"/>
  <c r="F84" i="71"/>
  <c r="E19" i="71"/>
  <c r="E39" i="71"/>
  <c r="G84" i="71"/>
  <c r="D10" i="71"/>
  <c r="E29" i="71"/>
  <c r="H72" i="71"/>
  <c r="E146" i="71"/>
  <c r="D40" i="72"/>
  <c r="G40" i="72" s="1"/>
  <c r="E49" i="71"/>
  <c r="C10" i="71"/>
  <c r="G10" i="71"/>
  <c r="G159" i="71" s="1"/>
  <c r="H59" i="71"/>
  <c r="H76" i="71"/>
  <c r="D84" i="71"/>
  <c r="H123" i="71"/>
  <c r="E72" i="71"/>
  <c r="E85" i="71"/>
  <c r="H113" i="71"/>
  <c r="E59" i="71"/>
  <c r="C84" i="71"/>
  <c r="E137" i="71"/>
  <c r="E150" i="71"/>
  <c r="H133" i="71"/>
  <c r="H63" i="71"/>
  <c r="H93" i="71"/>
  <c r="H11" i="71"/>
  <c r="H103" i="71"/>
  <c r="H89" i="71"/>
  <c r="H85" i="71" s="1"/>
  <c r="H141" i="71"/>
  <c r="H137" i="71" s="1"/>
  <c r="H147" i="71"/>
  <c r="H146" i="71" s="1"/>
  <c r="H153" i="71"/>
  <c r="H150" i="71" s="1"/>
  <c r="E11" i="71"/>
  <c r="E63" i="71"/>
  <c r="E93" i="71"/>
  <c r="E103" i="71"/>
  <c r="E113" i="71"/>
  <c r="E123" i="71"/>
  <c r="E133" i="71"/>
  <c r="E76" i="71"/>
  <c r="H23" i="71"/>
  <c r="H19" i="71" s="1"/>
  <c r="H33" i="71"/>
  <c r="H29" i="71" s="1"/>
  <c r="H43" i="71"/>
  <c r="H39" i="71" s="1"/>
  <c r="H53" i="71"/>
  <c r="H49" i="71" s="1"/>
  <c r="D80" i="70"/>
  <c r="G80" i="70" s="1"/>
  <c r="D79" i="70"/>
  <c r="G79" i="70" s="1"/>
  <c r="D78" i="70"/>
  <c r="G78" i="70" s="1"/>
  <c r="D77" i="70"/>
  <c r="G77" i="70" s="1"/>
  <c r="D76" i="70"/>
  <c r="G76" i="70" s="1"/>
  <c r="D75" i="70"/>
  <c r="G75" i="70" s="1"/>
  <c r="D74" i="70"/>
  <c r="G74" i="70" s="1"/>
  <c r="F73" i="70"/>
  <c r="E73" i="70"/>
  <c r="C73" i="70"/>
  <c r="B73" i="70"/>
  <c r="D72" i="70"/>
  <c r="G72" i="70" s="1"/>
  <c r="D71" i="70"/>
  <c r="G71" i="70" s="1"/>
  <c r="D70" i="70"/>
  <c r="G70" i="70" s="1"/>
  <c r="F69" i="70"/>
  <c r="E69" i="70"/>
  <c r="C69" i="70"/>
  <c r="B69" i="70"/>
  <c r="D68" i="70"/>
  <c r="G68" i="70" s="1"/>
  <c r="D67" i="70"/>
  <c r="G67" i="70" s="1"/>
  <c r="D66" i="70"/>
  <c r="G66" i="70" s="1"/>
  <c r="D65" i="70"/>
  <c r="G65" i="70" s="1"/>
  <c r="D64" i="70"/>
  <c r="G64" i="70" s="1"/>
  <c r="D63" i="70"/>
  <c r="G63" i="70" s="1"/>
  <c r="D62" i="70"/>
  <c r="G62" i="70" s="1"/>
  <c r="F61" i="70"/>
  <c r="E61" i="70"/>
  <c r="C61" i="70"/>
  <c r="B61" i="70"/>
  <c r="D60" i="70"/>
  <c r="G60" i="70" s="1"/>
  <c r="D59" i="70"/>
  <c r="G59" i="70" s="1"/>
  <c r="D58" i="70"/>
  <c r="G58" i="70" s="1"/>
  <c r="F57" i="70"/>
  <c r="E57" i="70"/>
  <c r="C57" i="70"/>
  <c r="B57" i="70"/>
  <c r="D56" i="70"/>
  <c r="G56" i="70" s="1"/>
  <c r="D55" i="70"/>
  <c r="G55" i="70" s="1"/>
  <c r="D54" i="70"/>
  <c r="G54" i="70" s="1"/>
  <c r="D53" i="70"/>
  <c r="G53" i="70" s="1"/>
  <c r="D52" i="70"/>
  <c r="G52" i="70" s="1"/>
  <c r="D51" i="70"/>
  <c r="G51" i="70" s="1"/>
  <c r="D50" i="70"/>
  <c r="G50" i="70" s="1"/>
  <c r="D49" i="70"/>
  <c r="G49" i="70" s="1"/>
  <c r="D48" i="70"/>
  <c r="G48" i="70" s="1"/>
  <c r="B47" i="70"/>
  <c r="D46" i="70"/>
  <c r="G46" i="70" s="1"/>
  <c r="D45" i="70"/>
  <c r="G45" i="70" s="1"/>
  <c r="D44" i="70"/>
  <c r="G44" i="70" s="1"/>
  <c r="D43" i="70"/>
  <c r="G43" i="70" s="1"/>
  <c r="D42" i="70"/>
  <c r="G42" i="70" s="1"/>
  <c r="D41" i="70"/>
  <c r="G41" i="70" s="1"/>
  <c r="D40" i="70"/>
  <c r="G40" i="70" s="1"/>
  <c r="D39" i="70"/>
  <c r="G39" i="70" s="1"/>
  <c r="D38" i="70"/>
  <c r="G38" i="70" s="1"/>
  <c r="F37" i="70"/>
  <c r="E37" i="70"/>
  <c r="C37" i="70"/>
  <c r="B37" i="70"/>
  <c r="G36" i="70"/>
  <c r="G35" i="70"/>
  <c r="G34" i="70"/>
  <c r="G33" i="70"/>
  <c r="G32" i="70"/>
  <c r="G31" i="70"/>
  <c r="G30" i="70"/>
  <c r="G29" i="70"/>
  <c r="G28" i="70"/>
  <c r="F27" i="70"/>
  <c r="E27" i="70"/>
  <c r="C27" i="70"/>
  <c r="B27" i="70"/>
  <c r="G26" i="70"/>
  <c r="G25" i="70"/>
  <c r="G24" i="70"/>
  <c r="G23" i="70"/>
  <c r="G22" i="70"/>
  <c r="G21" i="70"/>
  <c r="G20" i="70"/>
  <c r="G19" i="70"/>
  <c r="G18" i="70"/>
  <c r="F17" i="70"/>
  <c r="E17" i="70"/>
  <c r="B17" i="70"/>
  <c r="D17" i="70" s="1"/>
  <c r="F9" i="70"/>
  <c r="E9" i="70"/>
  <c r="C9" i="70"/>
  <c r="B9" i="70"/>
  <c r="A5" i="70"/>
  <c r="F159" i="71" l="1"/>
  <c r="C81" i="70"/>
  <c r="B81" i="70"/>
  <c r="E81" i="70"/>
  <c r="F81" i="70"/>
  <c r="D159" i="71"/>
  <c r="D69" i="70"/>
  <c r="D47" i="70"/>
  <c r="G47" i="70" s="1"/>
  <c r="D61" i="70"/>
  <c r="G61" i="70" s="1"/>
  <c r="D27" i="70"/>
  <c r="G27" i="70" s="1"/>
  <c r="D73" i="70"/>
  <c r="G73" i="70" s="1"/>
  <c r="G17" i="70"/>
  <c r="D57" i="70"/>
  <c r="G57" i="70" s="1"/>
  <c r="C159" i="71"/>
  <c r="D37" i="70"/>
  <c r="G37" i="70" s="1"/>
  <c r="E84" i="71"/>
  <c r="H84" i="71"/>
  <c r="E10" i="71"/>
  <c r="H10" i="71"/>
  <c r="G69" i="70"/>
  <c r="D81" i="70" l="1"/>
  <c r="G81" i="70"/>
  <c r="C14" i="20"/>
  <c r="C16" i="54" s="1"/>
  <c r="E14" i="20"/>
  <c r="E16" i="54" s="1"/>
  <c r="D14" i="20"/>
  <c r="D16" i="54" s="1"/>
  <c r="H159" i="71"/>
  <c r="E159" i="71"/>
  <c r="I160" i="71"/>
  <c r="I155" i="71"/>
  <c r="I156" i="71"/>
  <c r="I159" i="71"/>
  <c r="C6" i="24"/>
  <c r="D6" i="24" l="1"/>
  <c r="F190" i="86"/>
  <c r="F197" i="86" s="1"/>
  <c r="I157" i="71"/>
  <c r="I158" i="71"/>
  <c r="I67" i="55"/>
  <c r="I68" i="55"/>
  <c r="I13" i="55"/>
  <c r="H29" i="67"/>
  <c r="F67" i="55"/>
  <c r="F68" i="55"/>
  <c r="F13" i="55"/>
  <c r="E29" i="67"/>
  <c r="A4" i="67"/>
  <c r="G36" i="67"/>
  <c r="G42" i="67"/>
  <c r="C36" i="67"/>
  <c r="C42" i="67"/>
  <c r="H27" i="67"/>
  <c r="H30" i="67"/>
  <c r="H31" i="67"/>
  <c r="H32" i="67"/>
  <c r="H33" i="67"/>
  <c r="H34" i="67"/>
  <c r="H37" i="67"/>
  <c r="H39" i="67"/>
  <c r="H40" i="67"/>
  <c r="H43" i="67"/>
  <c r="H42" i="67" s="1"/>
  <c r="F36" i="67"/>
  <c r="F42" i="67"/>
  <c r="E27" i="67"/>
  <c r="E30" i="67"/>
  <c r="E31" i="67"/>
  <c r="E32" i="67"/>
  <c r="E33" i="67"/>
  <c r="E34" i="67"/>
  <c r="E37" i="67"/>
  <c r="E43" i="67"/>
  <c r="E42" i="67" s="1"/>
  <c r="D36" i="67"/>
  <c r="D42" i="67"/>
  <c r="H19" i="67"/>
  <c r="E19" i="67"/>
  <c r="H18" i="67"/>
  <c r="E18" i="67"/>
  <c r="H17" i="67"/>
  <c r="E17" i="67"/>
  <c r="H16" i="67"/>
  <c r="E16" i="67"/>
  <c r="H15" i="67"/>
  <c r="E15" i="67"/>
  <c r="H14" i="67"/>
  <c r="E14" i="67"/>
  <c r="H13" i="67"/>
  <c r="E13" i="67"/>
  <c r="H12" i="67"/>
  <c r="E12" i="67"/>
  <c r="H11" i="67"/>
  <c r="E11" i="67"/>
  <c r="H10" i="67"/>
  <c r="E10" i="67"/>
  <c r="A4" i="54"/>
  <c r="C10" i="52"/>
  <c r="J10" i="52" s="1"/>
  <c r="C14" i="52"/>
  <c r="J14" i="52" s="1"/>
  <c r="D31" i="65"/>
  <c r="G31" i="65" s="1"/>
  <c r="D30" i="65"/>
  <c r="G30" i="65" s="1"/>
  <c r="D29" i="65"/>
  <c r="G29" i="65" s="1"/>
  <c r="F28" i="65"/>
  <c r="F21" i="65" s="1"/>
  <c r="E28" i="65"/>
  <c r="E21" i="65" s="1"/>
  <c r="C28" i="65"/>
  <c r="C21" i="65" s="1"/>
  <c r="B28" i="65"/>
  <c r="B21" i="65" s="1"/>
  <c r="B16" i="65"/>
  <c r="B9" i="65" s="1"/>
  <c r="D27" i="65"/>
  <c r="G27" i="65" s="1"/>
  <c r="D26" i="65"/>
  <c r="G26" i="65" s="1"/>
  <c r="D25" i="65"/>
  <c r="G25" i="65" s="1"/>
  <c r="D24" i="65"/>
  <c r="D22" i="65"/>
  <c r="G22" i="65" s="1"/>
  <c r="D23" i="65"/>
  <c r="D10" i="65"/>
  <c r="G10" i="65" s="1"/>
  <c r="D11" i="65"/>
  <c r="G11" i="65" s="1"/>
  <c r="D12" i="65"/>
  <c r="G12" i="65" s="1"/>
  <c r="D13" i="65"/>
  <c r="G13" i="65" s="1"/>
  <c r="D14" i="65"/>
  <c r="G14" i="65" s="1"/>
  <c r="D15" i="65"/>
  <c r="G15" i="65" s="1"/>
  <c r="D17" i="65"/>
  <c r="G17" i="65" s="1"/>
  <c r="D18" i="65"/>
  <c r="G18" i="65" s="1"/>
  <c r="D19" i="65"/>
  <c r="G19" i="65" s="1"/>
  <c r="F16" i="65"/>
  <c r="F9" i="65" s="1"/>
  <c r="E16" i="65"/>
  <c r="E9" i="65" s="1"/>
  <c r="C16" i="65"/>
  <c r="C9" i="65" s="1"/>
  <c r="I39" i="55"/>
  <c r="I38" i="55" s="1"/>
  <c r="A4" i="53"/>
  <c r="A4" i="55" s="1"/>
  <c r="E19" i="54"/>
  <c r="D19" i="54"/>
  <c r="C19" i="54"/>
  <c r="H31" i="55"/>
  <c r="G31" i="55"/>
  <c r="E31" i="55"/>
  <c r="D31" i="55"/>
  <c r="C57" i="51"/>
  <c r="B57" i="51"/>
  <c r="C31" i="51"/>
  <c r="B31" i="51"/>
  <c r="C77" i="62"/>
  <c r="B9" i="51"/>
  <c r="D29" i="61"/>
  <c r="G29" i="61" s="1"/>
  <c r="D28" i="61"/>
  <c r="G28" i="61" s="1"/>
  <c r="D27" i="61"/>
  <c r="G27" i="61" s="1"/>
  <c r="D26" i="61"/>
  <c r="G26" i="61" s="1"/>
  <c r="D25" i="61"/>
  <c r="G25" i="61" s="1"/>
  <c r="D24" i="61"/>
  <c r="G24" i="61" s="1"/>
  <c r="D23" i="61"/>
  <c r="G23" i="61" s="1"/>
  <c r="D22" i="61"/>
  <c r="D18" i="61"/>
  <c r="G18" i="61" s="1"/>
  <c r="D17" i="61"/>
  <c r="G17" i="61" s="1"/>
  <c r="D16" i="61"/>
  <c r="G16" i="61" s="1"/>
  <c r="D15" i="61"/>
  <c r="G15" i="61" s="1"/>
  <c r="D14" i="61"/>
  <c r="G14" i="61" s="1"/>
  <c r="D13" i="61"/>
  <c r="G13" i="61" s="1"/>
  <c r="D12" i="61"/>
  <c r="G12" i="61" s="1"/>
  <c r="D11" i="61"/>
  <c r="G11" i="61" s="1"/>
  <c r="I79" i="55"/>
  <c r="I73" i="55"/>
  <c r="I66" i="55"/>
  <c r="I65" i="55"/>
  <c r="I63" i="55"/>
  <c r="I62" i="55"/>
  <c r="I61" i="55"/>
  <c r="I60" i="55"/>
  <c r="I58" i="55"/>
  <c r="I57" i="55"/>
  <c r="I56" i="55"/>
  <c r="I55" i="55"/>
  <c r="I54" i="55"/>
  <c r="I53" i="55"/>
  <c r="I52" i="55"/>
  <c r="I51" i="55"/>
  <c r="I42" i="55"/>
  <c r="I41" i="55"/>
  <c r="C32" i="54"/>
  <c r="F32" i="54" s="1"/>
  <c r="F69" i="51"/>
  <c r="G25" i="52"/>
  <c r="G26" i="52"/>
  <c r="G27" i="52"/>
  <c r="G15" i="52"/>
  <c r="G16" i="52"/>
  <c r="G17" i="52"/>
  <c r="G23" i="52"/>
  <c r="G22" i="52"/>
  <c r="G21" i="52"/>
  <c r="G13" i="52"/>
  <c r="G12" i="52"/>
  <c r="G11" i="52"/>
  <c r="E81" i="62"/>
  <c r="H81" i="62" s="1"/>
  <c r="E80" i="62"/>
  <c r="H80" i="62" s="1"/>
  <c r="E79" i="62"/>
  <c r="H79" i="62" s="1"/>
  <c r="E78" i="62"/>
  <c r="H78" i="62" s="1"/>
  <c r="E75" i="62"/>
  <c r="H75" i="62" s="1"/>
  <c r="E67" i="62"/>
  <c r="H67" i="62" s="1"/>
  <c r="H68" i="62"/>
  <c r="E69" i="62"/>
  <c r="H69" i="62" s="1"/>
  <c r="E70" i="62"/>
  <c r="H70" i="62" s="1"/>
  <c r="E71" i="62"/>
  <c r="H71" i="62" s="1"/>
  <c r="E72" i="62"/>
  <c r="H72" i="62" s="1"/>
  <c r="E73" i="62"/>
  <c r="H73" i="62" s="1"/>
  <c r="E74" i="62"/>
  <c r="H74" i="62" s="1"/>
  <c r="E65" i="62"/>
  <c r="H65" i="62" s="1"/>
  <c r="E64" i="62"/>
  <c r="H64" i="62" s="1"/>
  <c r="E63" i="62"/>
  <c r="H63" i="62" s="1"/>
  <c r="E62" i="62"/>
  <c r="H62" i="62" s="1"/>
  <c r="E61" i="62"/>
  <c r="H61" i="62" s="1"/>
  <c r="E60" i="62"/>
  <c r="E59" i="62"/>
  <c r="H59" i="62" s="1"/>
  <c r="E56" i="62"/>
  <c r="H56" i="62" s="1"/>
  <c r="E55" i="62"/>
  <c r="H55" i="62" s="1"/>
  <c r="E54" i="62"/>
  <c r="H54" i="62" s="1"/>
  <c r="E53" i="62"/>
  <c r="H53" i="62" s="1"/>
  <c r="E52" i="62"/>
  <c r="H52" i="62" s="1"/>
  <c r="E51" i="62"/>
  <c r="E50" i="62"/>
  <c r="E49" i="62"/>
  <c r="H49" i="62" s="1"/>
  <c r="E45" i="62"/>
  <c r="H45" i="62" s="1"/>
  <c r="E44" i="62"/>
  <c r="H44" i="62" s="1"/>
  <c r="E43" i="62"/>
  <c r="H43" i="62" s="1"/>
  <c r="E42" i="62"/>
  <c r="H42" i="62" s="1"/>
  <c r="E39" i="62"/>
  <c r="H39" i="62" s="1"/>
  <c r="E38" i="62"/>
  <c r="H38" i="62" s="1"/>
  <c r="E37" i="62"/>
  <c r="E36" i="62"/>
  <c r="H36" i="62" s="1"/>
  <c r="E35" i="62"/>
  <c r="H35" i="62" s="1"/>
  <c r="E34" i="62"/>
  <c r="H34" i="62" s="1"/>
  <c r="E33" i="62"/>
  <c r="H33" i="62" s="1"/>
  <c r="E32" i="62"/>
  <c r="H32" i="62" s="1"/>
  <c r="E31" i="62"/>
  <c r="E28" i="62"/>
  <c r="H28" i="62" s="1"/>
  <c r="E27" i="62"/>
  <c r="E26" i="62"/>
  <c r="H26" i="62" s="1"/>
  <c r="E24" i="62"/>
  <c r="H24" i="62" s="1"/>
  <c r="E22" i="62"/>
  <c r="E23" i="62"/>
  <c r="H23" i="62" s="1"/>
  <c r="E19" i="62"/>
  <c r="H19" i="62" s="1"/>
  <c r="E18" i="62"/>
  <c r="H18" i="62" s="1"/>
  <c r="E17" i="62"/>
  <c r="H17" i="62" s="1"/>
  <c r="E16" i="62"/>
  <c r="H16" i="62" s="1"/>
  <c r="E15" i="62"/>
  <c r="H15" i="62" s="1"/>
  <c r="E14" i="62"/>
  <c r="H14" i="62" s="1"/>
  <c r="E12" i="62"/>
  <c r="H12" i="62" s="1"/>
  <c r="E13" i="62"/>
  <c r="F12" i="55"/>
  <c r="D18" i="55"/>
  <c r="G42" i="51"/>
  <c r="F42" i="51"/>
  <c r="F20" i="52"/>
  <c r="F27" i="51"/>
  <c r="C25" i="51"/>
  <c r="C17" i="51"/>
  <c r="E45" i="54"/>
  <c r="F47" i="54" s="1"/>
  <c r="D45" i="54"/>
  <c r="F46" i="54" s="1"/>
  <c r="C45" i="54"/>
  <c r="F45" i="54" s="1"/>
  <c r="E42" i="54"/>
  <c r="F44" i="54" s="1"/>
  <c r="D42" i="54"/>
  <c r="F43" i="54" s="1"/>
  <c r="C42" i="54"/>
  <c r="F42" i="54" s="1"/>
  <c r="E32" i="54"/>
  <c r="F34" i="54" s="1"/>
  <c r="D32" i="54"/>
  <c r="F33" i="54" s="1"/>
  <c r="E10" i="54"/>
  <c r="E9" i="20"/>
  <c r="E15" i="54"/>
  <c r="E12" i="20"/>
  <c r="D15" i="54"/>
  <c r="D12" i="20"/>
  <c r="C15" i="54"/>
  <c r="C12" i="20"/>
  <c r="F12" i="20" s="1"/>
  <c r="D10" i="54"/>
  <c r="D9" i="20"/>
  <c r="C10" i="54"/>
  <c r="C9" i="20"/>
  <c r="H22" i="62"/>
  <c r="H27" i="62"/>
  <c r="H37" i="62"/>
  <c r="H50" i="62"/>
  <c r="H60" i="62"/>
  <c r="C11" i="62"/>
  <c r="C30" i="62"/>
  <c r="C41" i="62"/>
  <c r="C48" i="62"/>
  <c r="C58" i="62"/>
  <c r="C66" i="62"/>
  <c r="G11" i="62"/>
  <c r="G30" i="62"/>
  <c r="G41" i="62"/>
  <c r="G48" i="62"/>
  <c r="G58" i="62"/>
  <c r="G66" i="62"/>
  <c r="G77" i="62"/>
  <c r="F11" i="62"/>
  <c r="F30" i="62"/>
  <c r="F41" i="62"/>
  <c r="F48" i="62"/>
  <c r="F58" i="62"/>
  <c r="F66" i="62"/>
  <c r="F77" i="62"/>
  <c r="D11" i="62"/>
  <c r="D30" i="62"/>
  <c r="D41" i="62"/>
  <c r="D48" i="62"/>
  <c r="D58" i="62"/>
  <c r="D66" i="62"/>
  <c r="D77" i="62"/>
  <c r="C10" i="61"/>
  <c r="C21" i="61"/>
  <c r="H33" i="38"/>
  <c r="B32" i="38"/>
  <c r="H32" i="38" s="1"/>
  <c r="F10" i="61"/>
  <c r="F21" i="61"/>
  <c r="F32" i="38"/>
  <c r="H36" i="38" s="1"/>
  <c r="D10" i="52"/>
  <c r="D14" i="52"/>
  <c r="E10" i="52"/>
  <c r="E14" i="52"/>
  <c r="F10" i="52"/>
  <c r="F14" i="52"/>
  <c r="F38" i="51"/>
  <c r="F31" i="51"/>
  <c r="F23" i="51"/>
  <c r="F19" i="51"/>
  <c r="F55" i="51"/>
  <c r="F59" i="51"/>
  <c r="F63" i="51"/>
  <c r="F46" i="2"/>
  <c r="F40" i="2"/>
  <c r="F130" i="86" s="1"/>
  <c r="F36" i="2"/>
  <c r="F126" i="86" s="1"/>
  <c r="F31" i="2"/>
  <c r="F18" i="2"/>
  <c r="B31" i="2"/>
  <c r="B18" i="2"/>
  <c r="G38" i="51"/>
  <c r="G31" i="51"/>
  <c r="G27" i="51"/>
  <c r="G23" i="51"/>
  <c r="G19" i="51"/>
  <c r="G9" i="51"/>
  <c r="G55" i="51"/>
  <c r="G59" i="51"/>
  <c r="G63" i="51"/>
  <c r="G69" i="51"/>
  <c r="G46" i="2"/>
  <c r="G40" i="2"/>
  <c r="G130" i="86" s="1"/>
  <c r="G36" i="2"/>
  <c r="G126" i="86" s="1"/>
  <c r="G31" i="2"/>
  <c r="G18" i="2"/>
  <c r="E37" i="75" s="1"/>
  <c r="B41" i="51"/>
  <c r="B38" i="51"/>
  <c r="B25" i="51"/>
  <c r="C440" i="90" s="1"/>
  <c r="C518" i="90" s="1"/>
  <c r="C521" i="90" s="1"/>
  <c r="B17" i="51"/>
  <c r="C19" i="6"/>
  <c r="D19" i="6"/>
  <c r="E19" i="6"/>
  <c r="C41" i="51"/>
  <c r="C38" i="51"/>
  <c r="C9" i="51"/>
  <c r="C31" i="2"/>
  <c r="C18" i="2"/>
  <c r="E21" i="61"/>
  <c r="B21" i="61"/>
  <c r="E10" i="61"/>
  <c r="B10" i="61"/>
  <c r="I14" i="52"/>
  <c r="K18" i="53"/>
  <c r="K17" i="53"/>
  <c r="K16" i="53"/>
  <c r="K12" i="53"/>
  <c r="K11" i="53"/>
  <c r="K10" i="53"/>
  <c r="K9" i="53"/>
  <c r="F11" i="55"/>
  <c r="H40" i="55"/>
  <c r="G40" i="55"/>
  <c r="E40" i="55"/>
  <c r="D40" i="55"/>
  <c r="E18" i="55"/>
  <c r="H18" i="55"/>
  <c r="G18" i="55"/>
  <c r="H14" i="53"/>
  <c r="G14" i="53"/>
  <c r="F14" i="53"/>
  <c r="F8" i="53"/>
  <c r="E14" i="53"/>
  <c r="D14" i="53"/>
  <c r="C14" i="53"/>
  <c r="B14" i="53"/>
  <c r="J8" i="53"/>
  <c r="I8" i="53"/>
  <c r="H8" i="53"/>
  <c r="G8" i="53"/>
  <c r="E8" i="53"/>
  <c r="E20" i="53" s="1"/>
  <c r="D8" i="53"/>
  <c r="C8" i="53"/>
  <c r="B8" i="53"/>
  <c r="B20" i="53" s="1"/>
  <c r="E78" i="54"/>
  <c r="E76" i="54"/>
  <c r="E82" i="54"/>
  <c r="E84" i="54"/>
  <c r="C79" i="54"/>
  <c r="C80" i="54"/>
  <c r="C76" i="54"/>
  <c r="C82" i="54"/>
  <c r="D78" i="54"/>
  <c r="D84" i="54"/>
  <c r="D82" i="54"/>
  <c r="D76" i="54"/>
  <c r="E66" i="54"/>
  <c r="E64" i="54"/>
  <c r="E62" i="54"/>
  <c r="E61" i="54"/>
  <c r="E58" i="54"/>
  <c r="D66" i="54"/>
  <c r="D64" i="54"/>
  <c r="D62" i="54"/>
  <c r="D61" i="54"/>
  <c r="D58" i="54"/>
  <c r="C61" i="54"/>
  <c r="C62" i="54"/>
  <c r="C58" i="54"/>
  <c r="C64" i="54"/>
  <c r="I37" i="55"/>
  <c r="I36" i="55"/>
  <c r="I35" i="55"/>
  <c r="I34" i="55"/>
  <c r="I33" i="55"/>
  <c r="I32" i="55"/>
  <c r="I30" i="55"/>
  <c r="I29" i="55"/>
  <c r="I28" i="55"/>
  <c r="I27" i="55"/>
  <c r="I26" i="55"/>
  <c r="I25" i="55"/>
  <c r="I24" i="55"/>
  <c r="I23" i="55"/>
  <c r="I22" i="55"/>
  <c r="I21" i="55"/>
  <c r="I20" i="55"/>
  <c r="I17" i="55"/>
  <c r="I16" i="55"/>
  <c r="I15" i="55"/>
  <c r="I14" i="55"/>
  <c r="I12" i="55"/>
  <c r="I11" i="55"/>
  <c r="F65" i="55"/>
  <c r="F64" i="55" s="1"/>
  <c r="F51" i="55"/>
  <c r="F52" i="55"/>
  <c r="F53" i="55"/>
  <c r="F54" i="55"/>
  <c r="F55" i="55"/>
  <c r="F56" i="55"/>
  <c r="F57" i="55"/>
  <c r="F58" i="55"/>
  <c r="F60" i="55"/>
  <c r="F59" i="55" s="1"/>
  <c r="F42" i="55"/>
  <c r="F41" i="55"/>
  <c r="F39" i="55"/>
  <c r="F38" i="55" s="1"/>
  <c r="F33" i="55"/>
  <c r="F34" i="55"/>
  <c r="F35" i="55"/>
  <c r="F36" i="55"/>
  <c r="F14" i="55"/>
  <c r="F15" i="55"/>
  <c r="F16" i="55"/>
  <c r="F20" i="55"/>
  <c r="F21" i="55"/>
  <c r="F22" i="55"/>
  <c r="F23" i="55"/>
  <c r="F24" i="55"/>
  <c r="F25" i="55"/>
  <c r="F26" i="55"/>
  <c r="F27" i="55"/>
  <c r="F28" i="55"/>
  <c r="F29" i="55"/>
  <c r="F30" i="55"/>
  <c r="F72" i="55"/>
  <c r="F79" i="55"/>
  <c r="I72" i="55"/>
  <c r="H72" i="55"/>
  <c r="H50" i="55"/>
  <c r="H59" i="55"/>
  <c r="H64" i="55"/>
  <c r="H38" i="55"/>
  <c r="G72" i="55"/>
  <c r="G64" i="55"/>
  <c r="G59" i="55"/>
  <c r="G50" i="55"/>
  <c r="G38" i="55"/>
  <c r="E72" i="55"/>
  <c r="E64" i="55"/>
  <c r="E59" i="55"/>
  <c r="E50" i="55"/>
  <c r="E38" i="55"/>
  <c r="D72" i="55"/>
  <c r="D38" i="55"/>
  <c r="D50" i="55"/>
  <c r="D59" i="55"/>
  <c r="D64" i="55"/>
  <c r="C24" i="52"/>
  <c r="D24" i="52"/>
  <c r="E24" i="52"/>
  <c r="F24" i="52"/>
  <c r="C20" i="52"/>
  <c r="D20" i="52"/>
  <c r="E20" i="52"/>
  <c r="I24" i="52"/>
  <c r="H24" i="52"/>
  <c r="I20" i="52"/>
  <c r="H20" i="52"/>
  <c r="I10" i="52"/>
  <c r="H10" i="52"/>
  <c r="H14" i="52"/>
  <c r="D9" i="38"/>
  <c r="G9" i="38" s="1"/>
  <c r="D10" i="38"/>
  <c r="G10" i="38" s="1"/>
  <c r="D11" i="38"/>
  <c r="G11" i="38" s="1"/>
  <c r="D12" i="38"/>
  <c r="G12" i="38" s="1"/>
  <c r="D13" i="38"/>
  <c r="G13" i="38" s="1"/>
  <c r="D15" i="38"/>
  <c r="G15" i="38" s="1"/>
  <c r="D16" i="38"/>
  <c r="G16" i="38" s="1"/>
  <c r="D17" i="38"/>
  <c r="G17" i="38" s="1"/>
  <c r="D18" i="38"/>
  <c r="D26" i="38"/>
  <c r="D27" i="38"/>
  <c r="D28" i="38"/>
  <c r="D29" i="38"/>
  <c r="D30" i="38"/>
  <c r="D31" i="38"/>
  <c r="D19" i="38"/>
  <c r="D20" i="38"/>
  <c r="D21" i="38"/>
  <c r="D22" i="38"/>
  <c r="D23" i="38"/>
  <c r="D24" i="38"/>
  <c r="D25" i="38"/>
  <c r="A4" i="27"/>
  <c r="A4" i="20"/>
  <c r="A4" i="32"/>
  <c r="A4" i="42"/>
  <c r="B4" i="19"/>
  <c r="A4" i="16"/>
  <c r="A5" i="45"/>
  <c r="A5" i="44"/>
  <c r="A5" i="38"/>
  <c r="A5" i="37"/>
  <c r="A4" i="6"/>
  <c r="A4" i="24"/>
  <c r="A4" i="21"/>
  <c r="A4" i="26"/>
  <c r="A4" i="86" s="1"/>
  <c r="G19" i="38"/>
  <c r="G20" i="38"/>
  <c r="G21" i="38"/>
  <c r="G22" i="38"/>
  <c r="G23" i="38"/>
  <c r="G24" i="38"/>
  <c r="G25" i="38"/>
  <c r="G26" i="38"/>
  <c r="G27" i="38"/>
  <c r="G28" i="38"/>
  <c r="G29" i="38"/>
  <c r="G30" i="38"/>
  <c r="G31" i="38"/>
  <c r="G18" i="38"/>
  <c r="D39" i="42"/>
  <c r="G39" i="42" s="1"/>
  <c r="D38" i="42"/>
  <c r="G38" i="42" s="1"/>
  <c r="D37" i="42"/>
  <c r="G37" i="42" s="1"/>
  <c r="D10" i="6"/>
  <c r="D59" i="1"/>
  <c r="C59" i="1"/>
  <c r="C52" i="1"/>
  <c r="C46" i="1"/>
  <c r="F20" i="20" s="1"/>
  <c r="C32" i="1"/>
  <c r="C28" i="1"/>
  <c r="C42" i="1"/>
  <c r="C9" i="24"/>
  <c r="C33" i="24"/>
  <c r="D52" i="1"/>
  <c r="D46" i="1"/>
  <c r="D32" i="1"/>
  <c r="D28" i="1"/>
  <c r="D42" i="1"/>
  <c r="D19" i="1"/>
  <c r="D16" i="1"/>
  <c r="D8" i="1"/>
  <c r="C19" i="1"/>
  <c r="G103" i="86" s="1"/>
  <c r="C16" i="1"/>
  <c r="G100" i="86" s="1"/>
  <c r="C8" i="1"/>
  <c r="G101" i="86" s="1"/>
  <c r="D13" i="42"/>
  <c r="G13" i="42" s="1"/>
  <c r="D12" i="42"/>
  <c r="G12" i="42" s="1"/>
  <c r="D22" i="42"/>
  <c r="G22" i="42" s="1"/>
  <c r="D21" i="42"/>
  <c r="G21" i="42" s="1"/>
  <c r="D20" i="42"/>
  <c r="G20" i="42" s="1"/>
  <c r="D19" i="42"/>
  <c r="G19" i="42" s="1"/>
  <c r="D18" i="42"/>
  <c r="G18" i="42" s="1"/>
  <c r="D17" i="42"/>
  <c r="G17" i="42" s="1"/>
  <c r="D16" i="42"/>
  <c r="G16" i="42" s="1"/>
  <c r="D26" i="42"/>
  <c r="G26" i="42" s="1"/>
  <c r="D25" i="42"/>
  <c r="G25" i="42" s="1"/>
  <c r="D24" i="42"/>
  <c r="G24" i="42" s="1"/>
  <c r="D29" i="42"/>
  <c r="G29" i="42" s="1"/>
  <c r="D28" i="42"/>
  <c r="D36" i="42"/>
  <c r="D35" i="42" s="1"/>
  <c r="D33" i="42"/>
  <c r="G33" i="42" s="1"/>
  <c r="D32" i="42"/>
  <c r="G32" i="42" s="1"/>
  <c r="D31" i="42"/>
  <c r="G31" i="42" s="1"/>
  <c r="D34" i="42"/>
  <c r="G34" i="42" s="1"/>
  <c r="F35" i="42"/>
  <c r="E35" i="42"/>
  <c r="C35" i="42"/>
  <c r="B35" i="42"/>
  <c r="F30" i="42"/>
  <c r="E30" i="42"/>
  <c r="C30" i="42"/>
  <c r="B30" i="42"/>
  <c r="F27" i="42"/>
  <c r="E27" i="42"/>
  <c r="C27" i="42"/>
  <c r="B27" i="42"/>
  <c r="F23" i="42"/>
  <c r="E23" i="42"/>
  <c r="C23" i="42"/>
  <c r="B23" i="42"/>
  <c r="D35" i="24"/>
  <c r="E64" i="23"/>
  <c r="E27" i="20"/>
  <c r="D27" i="20"/>
  <c r="C27" i="20"/>
  <c r="D32" i="19"/>
  <c r="D20" i="19"/>
  <c r="C32" i="19"/>
  <c r="C20" i="19"/>
  <c r="E30" i="16"/>
  <c r="E29" i="16"/>
  <c r="E28" i="16"/>
  <c r="E27" i="16"/>
  <c r="E26" i="16"/>
  <c r="E25" i="16"/>
  <c r="E24" i="16"/>
  <c r="E23" i="16"/>
  <c r="E22" i="16"/>
  <c r="E21" i="16"/>
  <c r="E10" i="16"/>
  <c r="E11" i="16"/>
  <c r="E12" i="16"/>
  <c r="E13" i="16"/>
  <c r="E14" i="16"/>
  <c r="E15" i="16"/>
  <c r="E16" i="16"/>
  <c r="E17" i="16"/>
  <c r="E18" i="16"/>
  <c r="E9" i="16"/>
  <c r="D31" i="16"/>
  <c r="D19" i="16"/>
  <c r="C31" i="16"/>
  <c r="C19" i="16"/>
  <c r="G11" i="45"/>
  <c r="G13" i="45"/>
  <c r="G15" i="45"/>
  <c r="G17" i="45"/>
  <c r="G19" i="45"/>
  <c r="G21" i="45"/>
  <c r="D11" i="45"/>
  <c r="D12" i="45"/>
  <c r="G12" i="45" s="1"/>
  <c r="D13" i="45"/>
  <c r="D14" i="45"/>
  <c r="G14" i="45" s="1"/>
  <c r="D15" i="45"/>
  <c r="D16" i="45"/>
  <c r="G16" i="45" s="1"/>
  <c r="D17" i="45"/>
  <c r="D18" i="45"/>
  <c r="G18" i="45" s="1"/>
  <c r="D19" i="45"/>
  <c r="D20" i="45"/>
  <c r="G20" i="45" s="1"/>
  <c r="D21" i="45"/>
  <c r="D22" i="45"/>
  <c r="G22" i="45" s="1"/>
  <c r="D11" i="44"/>
  <c r="G11" i="44" s="1"/>
  <c r="D12" i="44"/>
  <c r="G12" i="44" s="1"/>
  <c r="D13" i="44"/>
  <c r="G13" i="44" s="1"/>
  <c r="E32" i="38"/>
  <c r="H35" i="38" s="1"/>
  <c r="F27" i="6"/>
  <c r="G27" i="6" s="1"/>
  <c r="F28" i="6"/>
  <c r="G28" i="6" s="1"/>
  <c r="F26" i="6"/>
  <c r="G26" i="6" s="1"/>
  <c r="F25" i="6"/>
  <c r="G25" i="6" s="1"/>
  <c r="F24" i="6"/>
  <c r="G24" i="6" s="1"/>
  <c r="F23" i="6"/>
  <c r="G23" i="6" s="1"/>
  <c r="F22" i="6"/>
  <c r="G22" i="6" s="1"/>
  <c r="F21" i="6"/>
  <c r="G21" i="6" s="1"/>
  <c r="F20" i="6"/>
  <c r="G20" i="6" s="1"/>
  <c r="F12" i="6"/>
  <c r="G12" i="6" s="1"/>
  <c r="F13" i="6"/>
  <c r="G13" i="6" s="1"/>
  <c r="F14" i="6"/>
  <c r="G14" i="6" s="1"/>
  <c r="F15" i="6"/>
  <c r="G15" i="6" s="1"/>
  <c r="F16" i="6"/>
  <c r="G16" i="6" s="1"/>
  <c r="F17" i="6"/>
  <c r="G17" i="6" s="1"/>
  <c r="G11" i="6"/>
  <c r="F15" i="37"/>
  <c r="F10" i="44" s="1"/>
  <c r="E15" i="37"/>
  <c r="E10" i="44" s="1"/>
  <c r="C15" i="37"/>
  <c r="C10" i="44" s="1"/>
  <c r="B15" i="37"/>
  <c r="D13" i="37"/>
  <c r="G13" i="37" s="1"/>
  <c r="D12" i="37"/>
  <c r="G12" i="37" s="1"/>
  <c r="D11" i="37"/>
  <c r="G11" i="37" s="1"/>
  <c r="D10" i="37"/>
  <c r="G10" i="37" s="1"/>
  <c r="D9" i="37"/>
  <c r="G9" i="37" s="1"/>
  <c r="D9" i="21"/>
  <c r="D18" i="21"/>
  <c r="E10" i="6"/>
  <c r="C10" i="6"/>
  <c r="D39" i="23"/>
  <c r="D43" i="23"/>
  <c r="C39" i="23"/>
  <c r="C43" i="23"/>
  <c r="H51" i="62"/>
  <c r="G24" i="65"/>
  <c r="C47" i="23" l="1"/>
  <c r="F37" i="75"/>
  <c r="F39" i="75" s="1"/>
  <c r="D60" i="54"/>
  <c r="D68" i="54" s="1"/>
  <c r="D70" i="54" s="1"/>
  <c r="I40" i="55"/>
  <c r="F50" i="55"/>
  <c r="F70" i="55" s="1"/>
  <c r="H9" i="52"/>
  <c r="H19" i="52" s="1"/>
  <c r="G20" i="52"/>
  <c r="E70" i="55"/>
  <c r="I9" i="52"/>
  <c r="I19" i="52" s="1"/>
  <c r="E9" i="52"/>
  <c r="E19" i="52" s="1"/>
  <c r="D47" i="62"/>
  <c r="G36" i="42"/>
  <c r="G35" i="42" s="1"/>
  <c r="F9" i="52"/>
  <c r="F19" i="52" s="1"/>
  <c r="D9" i="52"/>
  <c r="D19" i="52" s="1"/>
  <c r="I50" i="55"/>
  <c r="G20" i="53"/>
  <c r="E44" i="55"/>
  <c r="E58" i="62"/>
  <c r="F31" i="55"/>
  <c r="I31" i="55"/>
  <c r="G10" i="52"/>
  <c r="J11" i="52" s="1"/>
  <c r="C18" i="52"/>
  <c r="J18" i="52" s="1"/>
  <c r="E39" i="75"/>
  <c r="I18" i="55"/>
  <c r="K8" i="53"/>
  <c r="H15" i="37"/>
  <c r="B10" i="44"/>
  <c r="A4" i="85"/>
  <c r="A3" i="90"/>
  <c r="C8" i="6"/>
  <c r="G104" i="86"/>
  <c r="D15" i="20"/>
  <c r="D19" i="20" s="1"/>
  <c r="D21" i="20" s="1"/>
  <c r="F17" i="55"/>
  <c r="E39" i="67"/>
  <c r="E23" i="54"/>
  <c r="E25" i="54" s="1"/>
  <c r="E27" i="54" s="1"/>
  <c r="E36" i="54" s="1"/>
  <c r="D23" i="54"/>
  <c r="D25" i="54" s="1"/>
  <c r="D27" i="54" s="1"/>
  <c r="D36" i="54" s="1"/>
  <c r="E40" i="67"/>
  <c r="F37" i="55"/>
  <c r="D8" i="6"/>
  <c r="C46" i="51"/>
  <c r="C59" i="51" s="1"/>
  <c r="H20" i="53"/>
  <c r="H26" i="37"/>
  <c r="H16" i="37"/>
  <c r="H28" i="37"/>
  <c r="H18" i="37"/>
  <c r="H29" i="37"/>
  <c r="H19" i="37"/>
  <c r="D62" i="1"/>
  <c r="F19" i="6"/>
  <c r="G19" i="6" s="1"/>
  <c r="D47" i="23"/>
  <c r="D60" i="23"/>
  <c r="E48" i="62"/>
  <c r="F18" i="55"/>
  <c r="G14" i="52"/>
  <c r="J15" i="52" s="1"/>
  <c r="I64" i="55"/>
  <c r="C32" i="16"/>
  <c r="D27" i="42"/>
  <c r="H58" i="62"/>
  <c r="C25" i="1"/>
  <c r="E86" i="54"/>
  <c r="E88" i="54" s="1"/>
  <c r="G72" i="51"/>
  <c r="G46" i="51"/>
  <c r="G57" i="51" s="1"/>
  <c r="G47" i="62"/>
  <c r="C47" i="62"/>
  <c r="B46" i="51"/>
  <c r="B59" i="51" s="1"/>
  <c r="H26" i="67"/>
  <c r="E26" i="67"/>
  <c r="E20" i="67"/>
  <c r="H36" i="67"/>
  <c r="D25" i="1"/>
  <c r="C42" i="24"/>
  <c r="F50" i="2"/>
  <c r="E41" i="62"/>
  <c r="D23" i="42"/>
  <c r="G28" i="42"/>
  <c r="G27" i="42" s="1"/>
  <c r="B31" i="61"/>
  <c r="E15" i="20"/>
  <c r="E19" i="20" s="1"/>
  <c r="E21" i="20" s="1"/>
  <c r="G24" i="52"/>
  <c r="I59" i="55"/>
  <c r="E66" i="62"/>
  <c r="D49" i="54"/>
  <c r="D30" i="42"/>
  <c r="C49" i="54"/>
  <c r="D32" i="16"/>
  <c r="D33" i="19"/>
  <c r="C60" i="23"/>
  <c r="C60" i="54"/>
  <c r="C68" i="54" s="1"/>
  <c r="C70" i="54" s="1"/>
  <c r="E60" i="54"/>
  <c r="E68" i="54" s="1"/>
  <c r="E70" i="54" s="1"/>
  <c r="G10" i="61"/>
  <c r="D36" i="23"/>
  <c r="C62" i="1"/>
  <c r="D86" i="54"/>
  <c r="D88" i="54" s="1"/>
  <c r="F33" i="2"/>
  <c r="F72" i="51"/>
  <c r="D6" i="21"/>
  <c r="F180" i="86" s="1"/>
  <c r="F184" i="86" s="1"/>
  <c r="D45" i="67"/>
  <c r="F45" i="67"/>
  <c r="G28" i="65"/>
  <c r="F40" i="55"/>
  <c r="G50" i="2"/>
  <c r="C62" i="23"/>
  <c r="C20" i="53"/>
  <c r="C33" i="2"/>
  <c r="G33" i="2"/>
  <c r="D32" i="38"/>
  <c r="H34" i="38" s="1"/>
  <c r="C31" i="61"/>
  <c r="F47" i="62"/>
  <c r="G16" i="65"/>
  <c r="G9" i="65" s="1"/>
  <c r="D28" i="65"/>
  <c r="D21" i="65" s="1"/>
  <c r="C45" i="67"/>
  <c r="F9" i="20" s="1"/>
  <c r="G45" i="67"/>
  <c r="E11" i="62"/>
  <c r="C23" i="54"/>
  <c r="C25" i="54" s="1"/>
  <c r="C27" i="54" s="1"/>
  <c r="C36" i="54" s="1"/>
  <c r="E49" i="54"/>
  <c r="C78" i="54"/>
  <c r="C86" i="54" s="1"/>
  <c r="C88" i="54" s="1"/>
  <c r="D10" i="61"/>
  <c r="G30" i="42"/>
  <c r="H41" i="62"/>
  <c r="H48" i="62"/>
  <c r="B33" i="2"/>
  <c r="H77" i="62"/>
  <c r="A5" i="71"/>
  <c r="F32" i="65"/>
  <c r="G22" i="61"/>
  <c r="G21" i="61" s="1"/>
  <c r="D21" i="61"/>
  <c r="E77" i="62"/>
  <c r="E19" i="16"/>
  <c r="C15" i="20"/>
  <c r="C19" i="20" s="1"/>
  <c r="C21" i="20" s="1"/>
  <c r="H31" i="62"/>
  <c r="H30" i="62" s="1"/>
  <c r="E30" i="62"/>
  <c r="E8" i="6"/>
  <c r="E31" i="16"/>
  <c r="F20" i="53"/>
  <c r="F31" i="61"/>
  <c r="F11" i="54"/>
  <c r="F16" i="54"/>
  <c r="F12" i="54"/>
  <c r="C9" i="52"/>
  <c r="D70" i="55"/>
  <c r="D20" i="53"/>
  <c r="G44" i="55"/>
  <c r="F10" i="54"/>
  <c r="F15" i="54"/>
  <c r="F17" i="54"/>
  <c r="C33" i="19"/>
  <c r="G70" i="55"/>
  <c r="H70" i="55"/>
  <c r="H44" i="55"/>
  <c r="E31" i="61"/>
  <c r="D44" i="55"/>
  <c r="C32" i="65"/>
  <c r="B32" i="65"/>
  <c r="E32" i="65"/>
  <c r="F10" i="6"/>
  <c r="H10" i="6" s="1"/>
  <c r="H66" i="62"/>
  <c r="D15" i="37"/>
  <c r="D10" i="44" s="1"/>
  <c r="G23" i="42"/>
  <c r="I44" i="55"/>
  <c r="D16" i="65"/>
  <c r="D9" i="65" s="1"/>
  <c r="G23" i="65"/>
  <c r="H13" i="62"/>
  <c r="H11" i="62" s="1"/>
  <c r="G18" i="52" l="1"/>
  <c r="J19" i="52" s="1"/>
  <c r="C19" i="52"/>
  <c r="J21" i="52" s="1"/>
  <c r="I70" i="55"/>
  <c r="I75" i="55" s="1"/>
  <c r="E75" i="55"/>
  <c r="E78" i="55" s="1"/>
  <c r="E80" i="55" s="1"/>
  <c r="G22" i="80"/>
  <c r="G140" i="86"/>
  <c r="G40" i="80"/>
  <c r="F140" i="86"/>
  <c r="H31" i="61"/>
  <c r="E36" i="67"/>
  <c r="E45" i="67" s="1"/>
  <c r="J15" i="53"/>
  <c r="I14" i="53"/>
  <c r="I20" i="53" s="1"/>
  <c r="E10" i="45"/>
  <c r="E15" i="44"/>
  <c r="H18" i="44" s="1"/>
  <c r="H35" i="61"/>
  <c r="H32" i="61"/>
  <c r="F44" i="55"/>
  <c r="F75" i="55" s="1"/>
  <c r="F78" i="55" s="1"/>
  <c r="F80" i="55" s="1"/>
  <c r="H19" i="6"/>
  <c r="D64" i="1"/>
  <c r="G73" i="51"/>
  <c r="H27" i="37"/>
  <c r="H17" i="37"/>
  <c r="H59" i="51"/>
  <c r="H60" i="51"/>
  <c r="D62" i="23"/>
  <c r="D65" i="23" s="1"/>
  <c r="H46" i="67"/>
  <c r="H21" i="67"/>
  <c r="H20" i="67"/>
  <c r="E6" i="21"/>
  <c r="C64" i="1"/>
  <c r="D43" i="24"/>
  <c r="G52" i="2"/>
  <c r="G31" i="61"/>
  <c r="G9" i="52"/>
  <c r="D32" i="65"/>
  <c r="D23" i="21"/>
  <c r="E23" i="21" s="1"/>
  <c r="H75" i="55"/>
  <c r="J90" i="55" s="1"/>
  <c r="H45" i="67"/>
  <c r="G21" i="65"/>
  <c r="G32" i="65" s="1"/>
  <c r="E47" i="62"/>
  <c r="C65" i="23"/>
  <c r="E65" i="23" s="1"/>
  <c r="D75" i="55"/>
  <c r="G75" i="55"/>
  <c r="F52" i="2"/>
  <c r="G39" i="75"/>
  <c r="G32" i="38"/>
  <c r="H37" i="38" s="1"/>
  <c r="I47" i="55"/>
  <c r="E32" i="16"/>
  <c r="H47" i="62"/>
  <c r="D31" i="61"/>
  <c r="G15" i="37"/>
  <c r="H30" i="37" s="1"/>
  <c r="F8" i="6"/>
  <c r="H8" i="6" s="1"/>
  <c r="G10" i="6"/>
  <c r="G8" i="6" s="1"/>
  <c r="G19" i="52" l="1"/>
  <c r="J20" i="52" s="1"/>
  <c r="H52" i="2"/>
  <c r="J87" i="55"/>
  <c r="J81" i="55"/>
  <c r="J88" i="55"/>
  <c r="E65" i="1"/>
  <c r="F167" i="86"/>
  <c r="E64" i="1"/>
  <c r="E167" i="86"/>
  <c r="B10" i="45"/>
  <c r="B15" i="44"/>
  <c r="H15" i="44" s="1"/>
  <c r="J82" i="55"/>
  <c r="K15" i="53"/>
  <c r="J14" i="53"/>
  <c r="E15" i="42"/>
  <c r="E14" i="42" s="1"/>
  <c r="E40" i="42" s="1"/>
  <c r="H43" i="42" s="1"/>
  <c r="E24" i="72"/>
  <c r="E23" i="45"/>
  <c r="H26" i="45" s="1"/>
  <c r="F10" i="45"/>
  <c r="F15" i="44"/>
  <c r="H19" i="44" s="1"/>
  <c r="C10" i="45"/>
  <c r="C15" i="44"/>
  <c r="G10" i="44"/>
  <c r="J84" i="55"/>
  <c r="H78" i="55"/>
  <c r="H80" i="55" s="1"/>
  <c r="J83" i="55"/>
  <c r="G78" i="55"/>
  <c r="G80" i="55" s="1"/>
  <c r="J80" i="55"/>
  <c r="D78" i="55"/>
  <c r="H73" i="51"/>
  <c r="H53" i="2"/>
  <c r="J85" i="55"/>
  <c r="J91" i="55"/>
  <c r="J89" i="55"/>
  <c r="J86" i="55"/>
  <c r="H36" i="61"/>
  <c r="H33" i="61"/>
  <c r="H34" i="61"/>
  <c r="B15" i="42" l="1"/>
  <c r="B14" i="42" s="1"/>
  <c r="B40" i="42" s="1"/>
  <c r="H40" i="42" s="1"/>
  <c r="B24" i="72"/>
  <c r="B23" i="45"/>
  <c r="H23" i="45" s="1"/>
  <c r="K14" i="53"/>
  <c r="J20" i="53"/>
  <c r="K20" i="53" s="1"/>
  <c r="F25" i="62"/>
  <c r="F21" i="62" s="1"/>
  <c r="F10" i="62" s="1"/>
  <c r="F83" i="62" s="1"/>
  <c r="E20" i="72"/>
  <c r="E45" i="72" s="1"/>
  <c r="H47" i="72" s="1"/>
  <c r="F15" i="42"/>
  <c r="F14" i="42" s="1"/>
  <c r="F40" i="42" s="1"/>
  <c r="H44" i="42" s="1"/>
  <c r="F24" i="72"/>
  <c r="F23" i="45"/>
  <c r="H27" i="45" s="1"/>
  <c r="H16" i="44"/>
  <c r="D15" i="44"/>
  <c r="C15" i="42"/>
  <c r="C24" i="72"/>
  <c r="C23" i="45"/>
  <c r="D10" i="45"/>
  <c r="G10" i="45" s="1"/>
  <c r="I78" i="55"/>
  <c r="I80" i="55" s="1"/>
  <c r="D80" i="55"/>
  <c r="C25" i="62" l="1"/>
  <c r="C21" i="62" s="1"/>
  <c r="C10" i="62" s="1"/>
  <c r="C83" i="62" s="1"/>
  <c r="B20" i="72"/>
  <c r="B45" i="72" s="1"/>
  <c r="H45" i="72" s="1"/>
  <c r="I86" i="62"/>
  <c r="G25" i="62"/>
  <c r="G21" i="62" s="1"/>
  <c r="G10" i="62" s="1"/>
  <c r="G83" i="62" s="1"/>
  <c r="F20" i="72"/>
  <c r="F45" i="72" s="1"/>
  <c r="H48" i="72" s="1"/>
  <c r="C14" i="42"/>
  <c r="C40" i="42" s="1"/>
  <c r="H41" i="42" s="1"/>
  <c r="D15" i="42"/>
  <c r="H17" i="44"/>
  <c r="G15" i="44"/>
  <c r="D25" i="62"/>
  <c r="C20" i="72"/>
  <c r="D24" i="72"/>
  <c r="G24" i="72" s="1"/>
  <c r="H24" i="45"/>
  <c r="D23" i="45"/>
  <c r="I83" i="62" l="1"/>
  <c r="I87" i="62"/>
  <c r="H20" i="44"/>
  <c r="H22" i="44"/>
  <c r="G15" i="42"/>
  <c r="G14" i="42" s="1"/>
  <c r="G40" i="42" s="1"/>
  <c r="H45" i="42" s="1"/>
  <c r="D14" i="42"/>
  <c r="D40" i="42" s="1"/>
  <c r="H42" i="42" s="1"/>
  <c r="C45" i="72"/>
  <c r="D20" i="72"/>
  <c r="G20" i="72" s="1"/>
  <c r="H25" i="45"/>
  <c r="G23" i="45"/>
  <c r="H28" i="45" s="1"/>
  <c r="E25" i="62"/>
  <c r="D21" i="62"/>
  <c r="D10" i="62" s="1"/>
  <c r="D83" i="62" s="1"/>
  <c r="I84" i="62" l="1"/>
  <c r="H25" i="62"/>
  <c r="H21" i="62" s="1"/>
  <c r="H10" i="62" s="1"/>
  <c r="H83" i="62" s="1"/>
  <c r="E21" i="62"/>
  <c r="E10" i="62" s="1"/>
  <c r="E83" i="62" s="1"/>
  <c r="D45" i="72"/>
  <c r="G45" i="72" s="1"/>
  <c r="H49" i="72" s="1"/>
  <c r="H46" i="72"/>
  <c r="I85" i="62" l="1"/>
  <c r="I88" i="62"/>
  <c r="F9" i="51"/>
  <c r="F46" i="51" s="1"/>
  <c r="F57" i="51" s="1"/>
  <c r="F73" i="51" s="1"/>
  <c r="H74" i="51" s="1"/>
  <c r="B53" i="74"/>
  <c r="B47" i="74" s="1"/>
  <c r="B60" i="74" l="1"/>
</calcChain>
</file>

<file path=xl/comments1.xml><?xml version="1.0" encoding="utf-8"?>
<comments xmlns="http://schemas.openxmlformats.org/spreadsheetml/2006/main">
  <authors>
    <author>Claudia</author>
  </authors>
  <commentList>
    <comment ref="C64" authorId="0" shapeId="0">
      <text>
        <r>
          <rPr>
            <b/>
            <sz val="9"/>
            <color indexed="81"/>
            <rFont val="Tahoma"/>
            <family val="2"/>
          </rPr>
          <t>EVALUACIÓN:
VERIFICAR QUE COINCIDA EL MONTO CON LO REPORTADO EN EL FORMATO ETCA-I-01 EN EL EJERCICIO ACTUAL.</t>
        </r>
        <r>
          <rPr>
            <sz val="9"/>
            <color indexed="81"/>
            <rFont val="Tahoma"/>
            <family val="2"/>
          </rPr>
          <t xml:space="preserve">
</t>
        </r>
      </text>
    </comment>
  </commentList>
</comments>
</file>

<file path=xl/comments2.xml><?xml version="1.0" encoding="utf-8"?>
<comments xmlns="http://schemas.openxmlformats.org/spreadsheetml/2006/main">
  <authors>
    <author>Claudia</author>
  </authors>
  <commentList>
    <comment ref="F10" authorId="0" shapeId="0">
      <text>
        <r>
          <rPr>
            <b/>
            <sz val="9"/>
            <color indexed="81"/>
            <rFont val="Tahoma"/>
            <family val="2"/>
          </rPr>
          <t>Evaluación:
Verificar que coincida este monto con lo reportado en el formato ETCA-I-01 en el ejercicio actual en el mismo rubro</t>
        </r>
      </text>
    </comment>
    <comment ref="F19" authorId="0" shapeId="0">
      <text>
        <r>
          <rPr>
            <b/>
            <sz val="9"/>
            <color indexed="81"/>
            <rFont val="Tahoma"/>
            <family val="2"/>
          </rPr>
          <t>Evaluación:
Verificar que coincida este monto con lo reportado en el formato ETCA-I-01 en el ejercicio actual en el mismo rubro</t>
        </r>
      </text>
    </comment>
  </commentList>
</comments>
</file>

<file path=xl/comments3.xml><?xml version="1.0" encoding="utf-8"?>
<comments xmlns="http://schemas.openxmlformats.org/spreadsheetml/2006/main">
  <authors>
    <author>Claudia</author>
  </authors>
  <commentList>
    <comment ref="F39" authorId="0" shapeId="0">
      <text>
        <r>
          <rPr>
            <b/>
            <sz val="9"/>
            <color indexed="81"/>
            <rFont val="Tahoma"/>
            <family val="2"/>
          </rPr>
          <t>Evaluación:
Verificar que coincida este monto con lo reportado en el formato ETCA-I-01 en el ejercicio actual Total de Pasivo</t>
        </r>
      </text>
    </comment>
  </commentList>
</comments>
</file>

<file path=xl/comments4.xml><?xml version="1.0" encoding="utf-8"?>
<comments xmlns="http://schemas.openxmlformats.org/spreadsheetml/2006/main">
  <authors>
    <author>Claudia</author>
  </authors>
  <commentList>
    <comment ref="G21" authorId="0" shapeId="0">
      <text>
        <r>
          <rPr>
            <b/>
            <sz val="9"/>
            <color indexed="81"/>
            <rFont val="Tahoma"/>
            <family val="2"/>
          </rPr>
          <t xml:space="preserve">Evaluación:
</t>
        </r>
        <r>
          <rPr>
            <sz val="9"/>
            <color indexed="81"/>
            <rFont val="Tahoma"/>
            <family val="2"/>
          </rPr>
          <t xml:space="preserve">Total Ingreso Recaudado Anual - Total Ingreso Estimado Anual
</t>
        </r>
      </text>
    </comment>
    <comment ref="G46" authorId="0" shapeId="0">
      <text>
        <r>
          <rPr>
            <b/>
            <sz val="9"/>
            <color indexed="81"/>
            <rFont val="Tahoma"/>
            <family val="2"/>
          </rPr>
          <t>Evaluación:
Total Ingreso Recaudado Anual - Total Ingreso Estimado Anual</t>
        </r>
      </text>
    </comment>
  </commentList>
</comments>
</file>

<file path=xl/comments5.xml><?xml version="1.0" encoding="utf-8"?>
<comments xmlns="http://schemas.openxmlformats.org/spreadsheetml/2006/main">
  <authors>
    <author>Claudia</author>
  </authors>
  <commentList>
    <comment ref="D6" authorId="0" shapeId="0">
      <text>
        <r>
          <rPr>
            <b/>
            <sz val="9"/>
            <color indexed="81"/>
            <rFont val="Tahoma"/>
            <family val="2"/>
          </rPr>
          <t>EVALUACIÓN:
VERIFICA QUE COINCIDAN LAS CANTIDADES  DE TOTAL DE INGRESOS CON LO REPORTADO EN EL FORMATO ETCA-II-01 EN EL TOTAL DE LA COLUMNA DE TOTAL DE INGRESOS DEVENGADO ANUAL (4)</t>
        </r>
        <r>
          <rPr>
            <sz val="9"/>
            <color indexed="81"/>
            <rFont val="Tahoma"/>
            <family val="2"/>
          </rPr>
          <t xml:space="preserve">
</t>
        </r>
      </text>
    </comment>
    <comment ref="D23" authorId="0" shapeId="0">
      <text>
        <r>
          <rPr>
            <b/>
            <sz val="9"/>
            <color indexed="81"/>
            <rFont val="Tahoma"/>
            <family val="2"/>
          </rPr>
          <t>EVALUACIÓN:
VERIFICA QUE COINCIDAN LAS CANTIDADES  DE TOTAL DE INGRESOS CON LO REPORTADO EN EL FORMATO ETCA-I-03 EN EL MISMO RUBRO</t>
        </r>
      </text>
    </comment>
  </commentList>
</comments>
</file>

<file path=xl/comments6.xml><?xml version="1.0" encoding="utf-8"?>
<comments xmlns="http://schemas.openxmlformats.org/spreadsheetml/2006/main">
  <authors>
    <author>Claudia</author>
  </authors>
  <commentList>
    <comment ref="C6" authorId="0" shapeId="0">
      <text>
        <r>
          <rPr>
            <b/>
            <sz val="9"/>
            <color indexed="81"/>
            <rFont val="Tahoma"/>
            <family val="2"/>
          </rPr>
          <t>EVALUACIÓN:
VERIFICA QUE COINCIDAN LAS CANTIDADES  DE TOTAL DE EGRESOS CON LO REPORTADO EN EL FORMATO ETCA-II-04 EN EL TOTAL DE LA COLUMNA DE EGRESOS DEVENGADO ANUAL.</t>
        </r>
      </text>
    </comment>
    <comment ref="C42" authorId="0" shapeId="0">
      <text>
        <r>
          <rPr>
            <b/>
            <sz val="9"/>
            <color indexed="81"/>
            <rFont val="Tahoma"/>
            <family val="2"/>
          </rPr>
          <t>EVALUACIÓN:
VERIFICA QUE COINCIDAN LAS CANTIDADES  DEL TOTAL GASTO CONTABLE CON LO REPORTADO EN EL FORMATO ETCA-I-03 EN EL TOTAL DE GASTOS Y OTRAS PÉRDIDAS</t>
        </r>
        <r>
          <rPr>
            <sz val="9"/>
            <color indexed="81"/>
            <rFont val="Tahoma"/>
            <family val="2"/>
          </rPr>
          <t xml:space="preserve">
</t>
        </r>
      </text>
    </comment>
  </commentList>
</comments>
</file>

<file path=xl/sharedStrings.xml><?xml version="1.0" encoding="utf-8"?>
<sst xmlns="http://schemas.openxmlformats.org/spreadsheetml/2006/main" count="5089" uniqueCount="2288">
  <si>
    <t>Formatos</t>
  </si>
  <si>
    <t>Estado de Actividades</t>
  </si>
  <si>
    <t xml:space="preserve">Estado de Variación en la Hacienda Pública </t>
  </si>
  <si>
    <t>Estado de Cambios en la Situación Financiera</t>
  </si>
  <si>
    <t>Estado de Flujos de Efectivo</t>
  </si>
  <si>
    <t>Estado Analítico del Activo</t>
  </si>
  <si>
    <t>Estado Analítico de la Deuda y Otros Pasivos</t>
  </si>
  <si>
    <t>Informe Analítico de la Deuda y Otros Pasivos-Detallado-LDF</t>
  </si>
  <si>
    <t>Informe sobre Pasivos Contingentes</t>
  </si>
  <si>
    <t>Notas a los Estados Financieros</t>
  </si>
  <si>
    <t>II.- Información Presupuestaria</t>
  </si>
  <si>
    <t>Estado Analítico de Ingresos</t>
  </si>
  <si>
    <t>Estado Analítico del Ejercicio Presupuesto de Egresos Detallado-LDF Por Unidad Administrativa</t>
  </si>
  <si>
    <t>Conciliacion entre los Egresos Presupuestarios y los Gastos Contables</t>
  </si>
  <si>
    <t xml:space="preserve">Endeudamiento Neto                                                             </t>
  </si>
  <si>
    <t>III.- Información Programática</t>
  </si>
  <si>
    <t xml:space="preserve">Gasto por Categoría Programática    </t>
  </si>
  <si>
    <t xml:space="preserve">Gasto por Proyectos de Inversión   </t>
  </si>
  <si>
    <t xml:space="preserve">Indicadores de Postura Fiscal                                               </t>
  </si>
  <si>
    <t xml:space="preserve">Balance Presupuestario-LDF                                                            </t>
  </si>
  <si>
    <t>Relación de Cuentas Bancarias Productivas Específicas</t>
  </si>
  <si>
    <t>Análisis de variaciones Programático-Presupuestal</t>
  </si>
  <si>
    <t>Estado de Situación Financiera</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</si>
  <si>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</si>
  <si>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</si>
  <si>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</si>
  <si>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</si>
  <si>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</si>
  <si>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</si>
  <si>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</si>
  <si>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</si>
  <si>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</si>
  <si>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</si>
  <si>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</si>
  <si>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</si>
  <si>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</si>
  <si>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</si>
  <si>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</si>
  <si>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</si>
  <si>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</si>
  <si>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</si>
  <si>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</si>
  <si>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 xml:space="preserve">     Total de Activos Circulantes</t>
  </si>
  <si>
    <t xml:space="preserve">     Total de Pasivos Circulantes</t>
  </si>
  <si>
    <t>Activo No Circulante</t>
  </si>
  <si>
    <t>Pasivo No Circulante</t>
  </si>
  <si>
    <t>Inversiones Financieras a Largo Plazo</t>
  </si>
  <si>
    <t>Cuentas por Pagar a Largo Plazo</t>
  </si>
  <si>
    <t>Derechos a Recibir Efectivo o Equivalentes a Largo Plazo</t>
  </si>
  <si>
    <t>Documentos por Pagar a Largo Plazo</t>
  </si>
  <si>
    <t>Bienes Inmuebles, Infraestructura y Construcciones en Proceso</t>
  </si>
  <si>
    <t>Deuda Pública a Largo Plazo</t>
  </si>
  <si>
    <t>Bienes Muebles</t>
  </si>
  <si>
    <t>Pasivos Diferidos a Largo Plazo</t>
  </si>
  <si>
    <t>Activos Intangibles</t>
  </si>
  <si>
    <t>Fondos y Bienes de Terceros en Garantía y/o en Administración a Largo Plazo</t>
  </si>
  <si>
    <t>Depreciación, Deterioro y Amortización Acumulada de Bienes</t>
  </si>
  <si>
    <t>Provisiones a Largo Plazo</t>
  </si>
  <si>
    <t>Activos Diferidos</t>
  </si>
  <si>
    <t>Estimación por Pérdida o Deterioro de Activos no Circulantes</t>
  </si>
  <si>
    <t>Otros Activos no Circulantes</t>
  </si>
  <si>
    <t>Total de Activos No Circulantes</t>
  </si>
  <si>
    <t>Total de Pasivos No Circulantes</t>
  </si>
  <si>
    <t>Total de Activos</t>
  </si>
  <si>
    <t>Total de Pasivo</t>
  </si>
  <si>
    <t>Hacienda Pública/Patrimonio</t>
  </si>
  <si>
    <t>Hacienda Pública/Patrimonio Contribuido</t>
  </si>
  <si>
    <t>Aportaciones</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</si>
  <si>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</si>
  <si>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</si>
  <si>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</si>
  <si>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</si>
  <si>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</si>
  <si>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</si>
  <si>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</si>
  <si>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</si>
  <si>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</si>
  <si>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</si>
  <si>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</si>
  <si>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</si>
  <si>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 Pasivo y Hacienda Pública/Patrimonio</t>
  </si>
  <si>
    <t>"Bajo protesta de decir verdad declaramos que los Estados Financieros y sus Notas, son razonablemente correctos y son responsabilidad del emisor"</t>
  </si>
  <si>
    <t>Celdas Protegidas</t>
  </si>
  <si>
    <t>Estado de Situación Financiera - Detallado - LDF</t>
  </si>
  <si>
    <t>(PESOS)</t>
  </si>
  <si>
    <t>Concepto (c)</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</si>
  <si>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</si>
  <si>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</si>
  <si>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</si>
  <si>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</si>
  <si>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</si>
  <si>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</si>
  <si>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</si>
  <si>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</si>
  <si>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</si>
  <si>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</si>
  <si>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</si>
  <si>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</si>
  <si>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</si>
  <si>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</si>
  <si>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</si>
  <si>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</si>
  <si>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</si>
  <si>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</si>
  <si>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</si>
  <si>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</si>
  <si>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</si>
  <si>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</si>
  <si>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</si>
  <si>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</si>
  <si>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</si>
  <si>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</si>
  <si>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</si>
  <si>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</si>
  <si>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</si>
  <si>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</si>
  <si>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</si>
  <si>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</si>
  <si>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</si>
  <si>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</si>
  <si>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</si>
  <si>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</si>
  <si>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</si>
  <si>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</si>
  <si>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</si>
  <si>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</si>
  <si>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</si>
  <si>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</si>
  <si>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</si>
  <si>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</si>
  <si>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</si>
  <si>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</si>
  <si>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</si>
  <si>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</si>
  <si>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</si>
  <si>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</si>
  <si>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</si>
  <si>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</si>
  <si>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</si>
  <si>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</si>
  <si>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</si>
  <si>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</si>
  <si>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</si>
  <si>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</si>
  <si>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</si>
  <si>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</si>
  <si>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</si>
  <si>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</si>
  <si>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</si>
  <si>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</si>
  <si>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</si>
  <si>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</si>
  <si>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</si>
  <si>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</si>
  <si>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</si>
  <si>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</si>
  <si>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</si>
  <si>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</si>
  <si>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</si>
  <si>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</si>
  <si>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</si>
  <si>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+b +c +d +e +f +g +h)</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</si>
  <si>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</si>
  <si>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</si>
  <si>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</si>
  <si>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</si>
  <si>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</si>
  <si>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</si>
  <si>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</si>
  <si>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</si>
  <si>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</si>
  <si>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</si>
  <si>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</si>
  <si>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</si>
  <si>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</si>
  <si>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</si>
  <si>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(IIB=a + b + c + d + e + f)</t>
  </si>
  <si>
    <t>i. Otros Activos no Circulantes</t>
  </si>
  <si>
    <t>IB. Total de Activos No Circulantes (IB = a + b + c + d + e + f + g + h + i)</t>
  </si>
  <si>
    <t>II. Total del Pasivo (II = IIA + IIB)</t>
  </si>
  <si>
    <t>HACIENDA PÚBLICA/PATRIMONIO</t>
  </si>
  <si>
    <t>I. Total del Activo (I = IA + IB)</t>
  </si>
  <si>
    <t>IIIA. Hacienda Pública/Patrimonio Contribuido (IIIA =a +b+c)</t>
  </si>
  <si>
    <t>a. Aportaciones</t>
  </si>
  <si>
    <t>b. Donaciones de Capital</t>
  </si>
  <si>
    <t>c. Actualización de la Hacienda Pública/Patrimonio</t>
  </si>
  <si>
    <t>IIIB. Hacienda Pública/Patrimonio Generado (IIIB = a + b + c + d + e)</t>
  </si>
  <si>
    <t>a. Resultados del Ejercicio (Ahorro/ Desahorro)</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</si>
  <si>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</si>
  <si>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</si>
  <si>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</si>
  <si>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</si>
  <si>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</si>
  <si>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</si>
  <si>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</si>
  <si>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</si>
  <si>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=II+III)</t>
  </si>
  <si>
    <t xml:space="preserve">                                                                    (PESOS)</t>
  </si>
  <si>
    <t>INGRESOS Y OTROS BENEFICIOS</t>
  </si>
  <si>
    <t>Impuestos</t>
  </si>
  <si>
    <t>Cuotas y Aportaciones de Seguridad Social</t>
  </si>
  <si>
    <t xml:space="preserve">Contribuciones de Mejoras </t>
  </si>
  <si>
    <t>Derechos</t>
  </si>
  <si>
    <t>Participaciones y Aportaciones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</si>
  <si>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</si>
  <si>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</si>
  <si>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</si>
  <si>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</si>
  <si>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</si>
  <si>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</si>
  <si>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</si>
  <si>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</si>
  <si>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</si>
  <si>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</si>
  <si>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</si>
  <si>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</si>
  <si>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</si>
  <si>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</si>
  <si>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</si>
  <si>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</si>
  <si>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</si>
  <si>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</si>
  <si>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</si>
  <si>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</si>
  <si>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</si>
  <si>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 xml:space="preserve">Participaciones y Aportaciones </t>
  </si>
  <si>
    <t>Participaciones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</si>
  <si>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</si>
  <si>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</si>
  <si>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</si>
  <si>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</si>
  <si>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</si>
  <si>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</si>
  <si>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</si>
  <si>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</si>
  <si>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</si>
  <si>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</si>
  <si>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</si>
  <si>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</si>
  <si>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</si>
  <si>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</si>
  <si>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</si>
  <si>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</si>
  <si>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</si>
  <si>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</si>
  <si>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 xml:space="preserve"> </t>
  </si>
  <si>
    <t>Estado de Variación en la Hacienda Pública</t>
  </si>
  <si>
    <t>Concepto</t>
  </si>
  <si>
    <t>Hacienda Pública / Patrimonio Contribuido</t>
  </si>
  <si>
    <t>Hacienda Pública / Patrimonio Generado del Ejercicio</t>
  </si>
  <si>
    <t>Total</t>
  </si>
  <si>
    <t>Origen</t>
  </si>
  <si>
    <t>Aplicación</t>
  </si>
  <si>
    <t>Activo</t>
  </si>
  <si>
    <t>Inventario</t>
  </si>
  <si>
    <t>Pasivo</t>
  </si>
  <si>
    <t>HACIENDA PUBLICA/PATRIMONIO</t>
  </si>
  <si>
    <t>Excesos o Insuficiencia en la Actualización de la Hacienda Pública/Patrimonio</t>
  </si>
  <si>
    <t xml:space="preserve">                                                        (PESOS)</t>
  </si>
  <si>
    <t xml:space="preserve">Flujos de Efectivo de las Actividades de Operación </t>
  </si>
  <si>
    <t>Contribuciones de mejoras</t>
  </si>
  <si>
    <t>Otros Orígenes de Operación</t>
  </si>
  <si>
    <t>Transferencias al resto del Sector Público</t>
  </si>
  <si>
    <t xml:space="preserve">Subsidios y Subvenciones </t>
  </si>
  <si>
    <t xml:space="preserve">Participaciones </t>
  </si>
  <si>
    <t>Otras Aplicaciones de Operación</t>
  </si>
  <si>
    <t>Flujos Netos de Efectivo por Actividades de Operación</t>
  </si>
  <si>
    <t xml:space="preserve">Flujos de Efectivo de las Actividades de Inversión </t>
  </si>
  <si>
    <t>Otros Orígenes de Inversión</t>
  </si>
  <si>
    <t>Otras Aplicaciones de Inversión</t>
  </si>
  <si>
    <t>Flujos Netos de Efectivo por Actividades de Inversión</t>
  </si>
  <si>
    <t>Flujo de Efectivo de las Actividades de Financiamiento</t>
  </si>
  <si>
    <t>Endeudamiento Neto</t>
  </si>
  <si>
    <t>Otros Orígenes de Financiamiento</t>
  </si>
  <si>
    <t>Servicios de la Deuda</t>
  </si>
  <si>
    <t>Otras Aplicaciones de Financiamiento</t>
  </si>
  <si>
    <t>Flujos netos de Efectivo por Actividades de Financiamiento</t>
  </si>
  <si>
    <t xml:space="preserve">Incremento/Disminución Neta en el Efectivo y Equivalentes al Efectivo </t>
  </si>
  <si>
    <t>Efectivo y Equivalentes al Efectivo al Inicio del Ejercicio</t>
  </si>
  <si>
    <t>Efectivo y Equivalentes al Efectivo al Final del Ejercicio</t>
  </si>
  <si>
    <t xml:space="preserve">       (PESOS)</t>
  </si>
  <si>
    <t>Saldo
Inicial
1</t>
  </si>
  <si>
    <t>Cargos del Periodo
2</t>
  </si>
  <si>
    <t>Abonos del Periodo
3</t>
  </si>
  <si>
    <t>Saldo
Final
4 (1+2-3)</t>
  </si>
  <si>
    <t>Variación del Periodo
(4-1)</t>
  </si>
  <si>
    <t xml:space="preserve">     (PESOS)</t>
  </si>
  <si>
    <t>DENOMINACIÓN DE LAS DEUDAS</t>
  </si>
  <si>
    <t>MONEDA DE CONTRATACIÓN</t>
  </si>
  <si>
    <t>INSTITUCIÓN O PAÍS ACREEDOR</t>
  </si>
  <si>
    <t>SALDO INICIAL DEL PERIODO</t>
  </si>
  <si>
    <t>SALDO FINAL DEL PERIODO</t>
  </si>
  <si>
    <t>DEUDA PÚBLICA</t>
  </si>
  <si>
    <t>Corto Plazo</t>
  </si>
  <si>
    <t>Deuda Interna</t>
  </si>
  <si>
    <t>Instituciones de Crédito</t>
  </si>
  <si>
    <t>Títulos y Valores</t>
  </si>
  <si>
    <t>Arrendamientos Financieros</t>
  </si>
  <si>
    <t>Deuda Externa</t>
  </si>
  <si>
    <t>Organismos Financieros Internacionales</t>
  </si>
  <si>
    <t>Deuda Bilateral</t>
  </si>
  <si>
    <t>Subtotal Corto Plazo</t>
  </si>
  <si>
    <t>Largo Plazo</t>
  </si>
  <si>
    <t>Subtotal Lago Plazo</t>
  </si>
  <si>
    <t>Otros Pasivos</t>
  </si>
  <si>
    <t>Total Deuda y Otros Pasivos</t>
  </si>
  <si>
    <t>Informe Analítico de la Deuda Pública y Otros Pasivos - LDF</t>
  </si>
  <si>
    <t>Denominación de la Deuda Pública y Otros Pasivos (c)</t>
  </si>
  <si>
    <t>Saldo</t>
  </si>
  <si>
    <t>Disposiciones del Periodo (e)</t>
  </si>
  <si>
    <t>Amortizaciones del Periodo (f)</t>
  </si>
  <si>
    <t>Revaluaciones, Reclasificaciones y Otros Ajustes (g)</t>
  </si>
  <si>
    <t>Saldo Final del Periodo (h)</t>
  </si>
  <si>
    <t>Pago de Intereses del Periodo (i)</t>
  </si>
  <si>
    <t>Pago de Comisiones y demás costos asociados durante el Periodo (j)</t>
  </si>
  <si>
    <t>h=d+e-f+g</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</si>
  <si>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</si>
  <si>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</si>
  <si>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</si>
  <si>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</si>
  <si>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</si>
  <si>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</si>
  <si>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</si>
  <si>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</si>
  <si>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</si>
  <si>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</si>
  <si>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</si>
  <si>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</si>
  <si>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</si>
  <si>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</si>
  <si>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</si>
  <si>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</si>
  <si>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</si>
  <si>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</si>
  <si>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</si>
  <si>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</si>
  <si>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Se refiere al valor del Bono Cupón Cero que respalda el pago de los créditos asociados al mismo (Activo).</t>
  </si>
  <si>
    <t>Obligaciones a Corto Plazo (k)</t>
  </si>
  <si>
    <t>Monto</t>
  </si>
  <si>
    <t>Plazo</t>
  </si>
  <si>
    <t>Tasa de Interés</t>
  </si>
  <si>
    <t>Comisiones y Costos Relacionados (o)</t>
  </si>
  <si>
    <t>Tasa Efectiva</t>
  </si>
  <si>
    <t>Contratado (l)</t>
  </si>
  <si>
    <t>Pactado</t>
  </si>
  <si>
    <t>(n)</t>
  </si>
  <si>
    <t>(p)</t>
  </si>
  <si>
    <t>(m)</t>
  </si>
  <si>
    <t>6. Obligaciones a Corto Plazo (Informativo)</t>
  </si>
  <si>
    <t>A. Crédito 1</t>
  </si>
  <si>
    <t>B. Crédito 2</t>
  </si>
  <si>
    <t>C. Crédito XX</t>
  </si>
  <si>
    <t>Informe Analítico de Obligaciones Diferentes de Financiamientos – LDF</t>
  </si>
  <si>
    <t>Denominación de las Obligaciones Diferentes de Financiamiento (c)</t>
  </si>
  <si>
    <t>Fecha del Contrato (d)</t>
  </si>
  <si>
    <t>Fecha de inicio de operación del proyecto (e)</t>
  </si>
  <si>
    <t>Fecha de vencimiento (f)</t>
  </si>
  <si>
    <t>Monto de la inversión pactado (g)</t>
  </si>
  <si>
    <t>Plazo pactado (h)</t>
  </si>
  <si>
    <t>Monto promedio mensual del pago de la contraprestación (i)</t>
  </si>
  <si>
    <t>Monto promedio mensual del pago de la contraprestación correspondiente al pago de inversión (j)</t>
  </si>
  <si>
    <t>A. Asociaciones Público Privadas (APP’s) (A=a+b+c+d)</t>
  </si>
  <si>
    <t>a) APP 1</t>
  </si>
  <si>
    <t>b) APP 2</t>
  </si>
  <si>
    <t>c) APP 3</t>
  </si>
  <si>
    <t>d) APP XX</t>
  </si>
  <si>
    <t>B. Otros Instrumentos (B=a+b+c+d)</t>
  </si>
  <si>
    <t>b) Otro Instrumento 2</t>
  </si>
  <si>
    <t>c) Otro Instrumento 3</t>
  </si>
  <si>
    <t>d) Otro Instrumento XX</t>
  </si>
  <si>
    <t>C. Total de Obligaciones Diferentes de Financiamiento (C=A+B)</t>
  </si>
  <si>
    <t xml:space="preserve">          (PESOS)</t>
  </si>
  <si>
    <t>A Corto Plazo</t>
  </si>
  <si>
    <t>A Mediano Plazo</t>
  </si>
  <si>
    <t>A Largo Plazo</t>
  </si>
  <si>
    <t>Ampliaciones y Reducciones           (+ ó -)</t>
  </si>
  <si>
    <t>Diferencia</t>
  </si>
  <si>
    <t>(1)</t>
  </si>
  <si>
    <t>(2)</t>
  </si>
  <si>
    <t>(3= 1 +2)</t>
  </si>
  <si>
    <t>(4)</t>
  </si>
  <si>
    <t>(5)</t>
  </si>
  <si>
    <t>(6= 5 - 1 )</t>
  </si>
  <si>
    <t>Contribuciones de Mejoras</t>
  </si>
  <si>
    <t>Productos</t>
  </si>
  <si>
    <t>Aprovechamientos</t>
  </si>
  <si>
    <t>Ingresos Derivados de Financiamientos</t>
  </si>
  <si>
    <t xml:space="preserve">Impuestos </t>
  </si>
  <si>
    <t>Capital</t>
  </si>
  <si>
    <t>Transferencias, Asignaciones, Subsidios y Otras Ayudas</t>
  </si>
  <si>
    <t>Ingresos  derivados de Financiamiento</t>
  </si>
  <si>
    <t>Los Ingresos Excedentes  se presentan para efectos de cumplimiento de la Ley de Ingresos del Estado y Ley de Contabilidad Gubernamental.</t>
  </si>
  <si>
    <t>El importe reflejado siempre debe ser mayor a cero. Nunca en rojo.</t>
  </si>
  <si>
    <t>Estado Analítico de Ingresos Detallado – LDF</t>
  </si>
  <si>
    <t>Ingreso</t>
  </si>
  <si>
    <t>Diferencia (e)</t>
  </si>
  <si>
    <t>Estimado (d)</t>
  </si>
  <si>
    <t>Ampliaciones/ (Reducciones)</t>
  </si>
  <si>
    <t>Modificado</t>
  </si>
  <si>
    <t>Devengado</t>
  </si>
  <si>
    <t>Recaudado</t>
  </si>
  <si>
    <t>(c)</t>
  </si>
  <si>
    <t>Ingresos de Libre Disposición</t>
  </si>
  <si>
    <t>A. Impuestos</t>
  </si>
  <si>
    <t>B. Cuotas y Aportaciones de Seguridad Social</t>
  </si>
  <si>
    <t>C. Contribuciones de Mejoras</t>
  </si>
  <si>
    <t>D. Derechos</t>
  </si>
  <si>
    <t>E. Productos</t>
  </si>
  <si>
    <t>F. Aprovechamientos</t>
  </si>
  <si>
    <t>H. Participaciones</t>
  </si>
  <si>
    <t>(H=h1+h2+h3+h4+h5+h6+h7+h8+h9+h10+h11)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</si>
  <si>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</si>
  <si>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</si>
  <si>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</si>
  <si>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</si>
  <si>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</si>
  <si>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</si>
  <si>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</si>
  <si>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</si>
  <si>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</si>
  <si>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</si>
  <si>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</si>
  <si>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</si>
  <si>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</si>
  <si>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</si>
  <si>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</si>
  <si>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</si>
  <si>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</si>
  <si>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K. Convenios</t>
  </si>
  <si>
    <t>k1) Otros Convenios y Subsidios</t>
  </si>
  <si>
    <t>L. Otros Ingresos de Libre Disposición (L=l1+l2)</t>
  </si>
  <si>
    <t xml:space="preserve">l1) Participaciones en Ingresos Locales </t>
  </si>
  <si>
    <t>l2) Otros Ingresos de Libre Disposición</t>
  </si>
  <si>
    <t xml:space="preserve">I. Total de Ingresos de Libre Disposición                                                 </t>
  </si>
  <si>
    <t>(I=A+B+C+D+E+F+G+H+I+J+K+L)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</si>
  <si>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</si>
  <si>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</si>
  <si>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</si>
  <si>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</si>
  <si>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</si>
  <si>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</si>
  <si>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</si>
  <si>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</si>
  <si>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</si>
  <si>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</si>
  <si>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</si>
  <si>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</si>
  <si>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</si>
  <si>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</si>
  <si>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</si>
  <si>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</si>
  <si>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</si>
  <si>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</si>
  <si>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</si>
  <si>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</si>
  <si>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</si>
  <si>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</si>
  <si>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</si>
  <si>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</si>
  <si>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</si>
  <si>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</si>
  <si>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</si>
  <si>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</si>
  <si>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Conciliacion entre los Ingresos Presupuestarios y Contables</t>
  </si>
  <si>
    <t xml:space="preserve">                                                            (PESOS)</t>
  </si>
  <si>
    <t>Estado Analítico del Ejercicio Presupuesto de Egresos</t>
  </si>
  <si>
    <t>Clasificación por Objeto del Gasto (Capítulo y Concepto)</t>
  </si>
  <si>
    <t xml:space="preserve">                                                                                                                                                     (PESOS)</t>
  </si>
  <si>
    <t>Ejercicio del Presupuesto por
Capítulo del Gasto</t>
  </si>
  <si>
    <t>Egresos Aprobado   Anual</t>
  </si>
  <si>
    <t>Egresos Modificado   Anual</t>
  </si>
  <si>
    <t>Egresos Devengado Acumulado</t>
  </si>
  <si>
    <t>Egresos Pagado     Acumulado</t>
  </si>
  <si>
    <t>Subejercicio</t>
  </si>
  <si>
    <t>(3=1+2)</t>
  </si>
  <si>
    <t>( 6 = 3 - 4 )</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</si>
  <si>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</si>
  <si>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</si>
  <si>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</si>
  <si>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</si>
  <si>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</si>
  <si>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</si>
  <si>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</si>
  <si>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</si>
  <si>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</si>
  <si>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</si>
  <si>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</si>
  <si>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</si>
  <si>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</si>
  <si>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</si>
  <si>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</si>
  <si>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</si>
  <si>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</si>
  <si>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</si>
  <si>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</si>
  <si>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</si>
  <si>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</si>
  <si>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</si>
  <si>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</si>
  <si>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</si>
  <si>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</si>
  <si>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</si>
  <si>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</si>
  <si>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</si>
  <si>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</si>
  <si>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</si>
  <si>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</si>
  <si>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</si>
  <si>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</si>
  <si>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</si>
  <si>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</si>
  <si>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</si>
  <si>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</si>
  <si>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</si>
  <si>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</si>
  <si>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</si>
  <si>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</si>
  <si>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</si>
  <si>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</si>
  <si>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</si>
  <si>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</si>
  <si>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</si>
  <si>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</si>
  <si>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</si>
  <si>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</si>
  <si>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Total del Gasto</t>
  </si>
  <si>
    <t>Estado Analítico del Ejercicio del Presupuesto de Egresos Detallado - LDF</t>
  </si>
  <si>
    <t xml:space="preserve">Clasificación por Objeto del Gasto (Capítulo y Concepto) </t>
  </si>
  <si>
    <t>Egresos</t>
  </si>
  <si>
    <t>Subejercicio (e)</t>
  </si>
  <si>
    <t>Aprobado (d)</t>
  </si>
  <si>
    <t xml:space="preserve">Ampliaciones/ (Reducciones) </t>
  </si>
  <si>
    <t xml:space="preserve">Modificado </t>
  </si>
  <si>
    <t xml:space="preserve">Pagado </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</si>
  <si>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</si>
  <si>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</si>
  <si>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</si>
  <si>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</si>
  <si>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</si>
  <si>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</si>
  <si>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</si>
  <si>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</si>
  <si>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</si>
  <si>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</si>
  <si>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</si>
  <si>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</si>
  <si>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</si>
  <si>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</si>
  <si>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</si>
  <si>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</si>
  <si>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</si>
  <si>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</si>
  <si>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</si>
  <si>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</si>
  <si>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</si>
  <si>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</si>
  <si>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</si>
  <si>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</si>
  <si>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</si>
  <si>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</si>
  <si>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</si>
  <si>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</si>
  <si>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</si>
  <si>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</si>
  <si>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</si>
  <si>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</si>
  <si>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</si>
  <si>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</si>
  <si>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</si>
  <si>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</si>
  <si>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</si>
  <si>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</si>
  <si>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</si>
  <si>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</si>
  <si>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</si>
  <si>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</si>
  <si>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</si>
  <si>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</si>
  <si>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</si>
  <si>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</si>
  <si>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</si>
  <si>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</si>
  <si>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</si>
  <si>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</si>
  <si>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</si>
  <si>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</si>
  <si>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</si>
  <si>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</si>
  <si>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</si>
  <si>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</si>
  <si>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</si>
  <si>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</si>
  <si>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</si>
  <si>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Fideicomiso de Desastres Naturales (Informativo)</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</si>
  <si>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</si>
  <si>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</si>
  <si>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</si>
  <si>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</si>
  <si>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</si>
  <si>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</si>
  <si>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</si>
  <si>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</si>
  <si>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</si>
  <si>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</si>
  <si>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</si>
  <si>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</si>
  <si>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</si>
  <si>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</si>
  <si>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</si>
  <si>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</si>
  <si>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Clasificación Económica (por Tipo de Gasto)</t>
  </si>
  <si>
    <t xml:space="preserve">                                                                                                                                (PESOS)</t>
  </si>
  <si>
    <t>Gasto Corriente</t>
  </si>
  <si>
    <t>Gasto de Capital</t>
  </si>
  <si>
    <t>Amortización del la Deuda y Disminución de Pasivos</t>
  </si>
  <si>
    <t>A continuación se conceptualizan las siguientes categorías:</t>
  </si>
  <si>
    <t>1. Gasto Corriente</t>
  </si>
  <si>
    <t>Son los gastos de consumo y/o de operación, el arrendamiento de la propiedad y las transferencias otorgadas a los otros componentes institucionales del sistema económico para financiar gastos de esas características.</t>
  </si>
  <si>
    <t>2. Gasto de Capital</t>
  </si>
  <si>
    <t>Son los gastos destinados a la inversión de capital y las transferencias a los otros componentes institucionales del sistema económico que se efectúan para financiar gastos de éstos con tal propósito.</t>
  </si>
  <si>
    <t>3. Amortización de la deuda y disminución de pasivos</t>
  </si>
  <si>
    <t>Comprende la amortización de la deuda adquirida y disminución de pasivos con el sector privado, público y externo.</t>
  </si>
  <si>
    <t>4. Pensiones y Jubilaciones</t>
  </si>
  <si>
    <t>Son los gastos destinados para el pago a pensionistas y jubilados o a sus familiares, que cubren los gobiernos Federal, Estatal y Municipal, o bien el Instituto de Seguridad Social correspondiente.</t>
  </si>
  <si>
    <t>Punto Adicionado DOF 30-09-2015</t>
  </si>
  <si>
    <t xml:space="preserve">5. Participaciones </t>
  </si>
  <si>
    <t>Son los gastos destinados a cubrir las participaciones para las entidades federativas y/o los municipios.</t>
  </si>
  <si>
    <t>Clasificación Administrativa (Por Unidad Administrativa)</t>
  </si>
  <si>
    <t xml:space="preserve">                                                                                                                                                         (PESOS)</t>
  </si>
  <si>
    <t>Clasificación Administrativa</t>
  </si>
  <si>
    <t>Pagado</t>
  </si>
  <si>
    <t>I. Gasto No Etiquetado</t>
  </si>
  <si>
    <t>(I=A+B+C+D+E+F+G+H)</t>
  </si>
  <si>
    <t>A. Dependencia o Unidad Administrativa 1</t>
  </si>
  <si>
    <t>B. Dependencia o Unidad Administrativa 2</t>
  </si>
  <si>
    <t>C. Dependencia o Unidad Administrativa 3</t>
  </si>
  <si>
    <t>D. Dependencia o Unidad Administrativa 4</t>
  </si>
  <si>
    <t>E. Dependencia o Unidad Administrativa 5</t>
  </si>
  <si>
    <t>F. Dependencia o Unidad Administrativa 6</t>
  </si>
  <si>
    <t>G. Dependencia o Unidad Administrativa 7</t>
  </si>
  <si>
    <t>H. Dependencia o Unidad Administrativa xx</t>
  </si>
  <si>
    <t>II. Gasto Etiquetado</t>
  </si>
  <si>
    <t>(II=A+B+C+D+E+F+G+H)</t>
  </si>
  <si>
    <t>Clasificación Administrativa (Por Poderes)</t>
  </si>
  <si>
    <t xml:space="preserve">                                                                                                                                     (PESOS)</t>
  </si>
  <si>
    <t>Poder Ejecutivo</t>
  </si>
  <si>
    <t>Poder Legislativo</t>
  </si>
  <si>
    <t>Poder Judicial</t>
  </si>
  <si>
    <t>Órganos Autónomos</t>
  </si>
  <si>
    <t>Clasificación Administrativa (Por Tipo de Organismos o Entidad Paraestatal)</t>
  </si>
  <si>
    <t xml:space="preserve">                                                                                                                                      (PESOS)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</si>
  <si>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</si>
  <si>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</si>
  <si>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</si>
  <si>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</si>
  <si>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</si>
  <si>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</si>
  <si>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</si>
  <si>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Clasificación Funcional (Finalidad y Función)</t>
  </si>
  <si>
    <t>Gobierno</t>
  </si>
  <si>
    <t>Legislación</t>
  </si>
  <si>
    <t>Justicia</t>
  </si>
  <si>
    <t>Coordinación de la Politica de Gobierno</t>
  </si>
  <si>
    <t>Relaciones Exteriores</t>
  </si>
  <si>
    <t>Asuntos Financieros y Hacendarios</t>
  </si>
  <si>
    <t>Seguridad Nacional</t>
  </si>
  <si>
    <t>Asuntos de Orden Público y Seguridad Interior</t>
  </si>
  <si>
    <t>Desarrollo Social</t>
  </si>
  <si>
    <t>Protección Ambiental</t>
  </si>
  <si>
    <t>Viviendas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</si>
  <si>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</si>
  <si>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</si>
  <si>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</si>
  <si>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</si>
  <si>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</si>
  <si>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</si>
  <si>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</si>
  <si>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</si>
  <si>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</si>
  <si>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</si>
  <si>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</si>
  <si>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</si>
  <si>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</si>
  <si>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Tencología e Innovación</t>
  </si>
  <si>
    <t>Otras Industrias y Otros Asuntos Económicos</t>
  </si>
  <si>
    <t>Otras No Clasificadas en funciones anteriores</t>
  </si>
  <si>
    <t>Transacdciones de la Deuda Pública / Costo financiero de la Deuda</t>
  </si>
  <si>
    <t>Transferencias, Participaciones y Aportaciones entre Diferentes Niveles y Órdenes de gobierno</t>
  </si>
  <si>
    <t>Saneamiento del Sistema Financiero</t>
  </si>
  <si>
    <t>Adeudos de ejercicios Fiscales Anteriores</t>
  </si>
  <si>
    <t>I. Gasto No Etiquetado (I=A+B+C+D)</t>
  </si>
  <si>
    <t>A. Gobierno (A=a1+a2+a3+a4+a5+a6+a7+a8)</t>
  </si>
  <si>
    <t>a1) Legislación</t>
  </si>
  <si>
    <t>a2) Justicia</t>
  </si>
  <si>
    <t>a3) Coordinación de la Política de Gobierno</t>
  </si>
  <si>
    <t>a4) Relaciones Exteriores</t>
  </si>
  <si>
    <t>a5) Asuntos Financieros y Hacendarios</t>
  </si>
  <si>
    <t>a6) Seguridad Nacional</t>
  </si>
  <si>
    <t>a7) Asuntos de Orden Público y de Seguridad Interior</t>
  </si>
  <si>
    <t>a8) Otros Servicios Generales</t>
  </si>
  <si>
    <t>B. Desarrollo Social (B=b1+b2+b3+b4+b5+b6+b7)</t>
  </si>
  <si>
    <t>b1) Protección Ambiental</t>
  </si>
  <si>
    <t>b2) Vivienda y Servicios a la Comunidad</t>
  </si>
  <si>
    <t>b3) Salud</t>
  </si>
  <si>
    <t>b4) Recreación, Cultura y Otras Manifestaciones Sociales</t>
  </si>
  <si>
    <t>b5) Educación</t>
  </si>
  <si>
    <t>b6) Protección Social</t>
  </si>
  <si>
    <t>b7) Otros Asuntos Sociales</t>
  </si>
  <si>
    <t>C. Desarrollo Económico (C=c1+c2+c3+c4+c5+c6+c7+c8+c9)</t>
  </si>
  <si>
    <t>c1) Asuntos Económicos, Comerciales y Laborales en General</t>
  </si>
  <si>
    <t>c2) Agropecuaria, Silvicultura, Pesca y Caza</t>
  </si>
  <si>
    <t>c3) Combustibles y Energía</t>
  </si>
  <si>
    <t>c4) Minería, Manufacturas y Construcción</t>
  </si>
  <si>
    <t>c5) Transporte</t>
  </si>
  <si>
    <t>c6) Comunicaciones</t>
  </si>
  <si>
    <t>c7) Turismo</t>
  </si>
  <si>
    <t>c8) Ciencia, Tecnología e Innovación</t>
  </si>
  <si>
    <t>c9) Otras Industrias y Otros Asuntos Económicos</t>
  </si>
  <si>
    <t>D. Otras No Clasificadas en Funciones Anteriores (D=d1+d2+d3+d4)</t>
  </si>
  <si>
    <t>d1) Transacciones de la Deuda Publica / Costo Financiero de la Deuda</t>
  </si>
  <si>
    <t>d2) Transferencias, Participaciones y Aportaciones Entre Diferentes Niveles y Ordenes de Gobierno</t>
  </si>
  <si>
    <t>d3) Saneamiento del Sistema Financiero</t>
  </si>
  <si>
    <t>d4) Adeudos de Ejercicios Fiscales Anteriores</t>
  </si>
  <si>
    <t>II. Gasto Etiquetado (II=A+B+C+D)</t>
  </si>
  <si>
    <t>Por Partida del Gasto</t>
  </si>
  <si>
    <t xml:space="preserve">                               (PESOS)</t>
  </si>
  <si>
    <t>Ejercicio del Presupuesto por
Partida  /  Descripción</t>
  </si>
  <si>
    <t>% Avance Anual</t>
  </si>
  <si>
    <t>(7= 4/3)</t>
  </si>
  <si>
    <t>Estado Analítico del Ejercicio de Presupuesto de Egresos- Detallado – LDF</t>
  </si>
  <si>
    <t>(Clasificación de Servicios Personales por Categoría)</t>
  </si>
  <si>
    <t xml:space="preserve">Devengado </t>
  </si>
  <si>
    <t>I. Gasto No Etiquetado (I=A+B+C+D+E+F)</t>
  </si>
  <si>
    <t>A. Personal Administrativo y de Servicio Público</t>
  </si>
  <si>
    <t>B. Magisterio</t>
  </si>
  <si>
    <t>C. Servicios de Salud (C=c1+c2)</t>
  </si>
  <si>
    <t>c1) Personal Administrativo</t>
  </si>
  <si>
    <t>c2) Personal Médico, Paramédico y afín</t>
  </si>
  <si>
    <t>D. Seguridad Pública</t>
  </si>
  <si>
    <t>E. Gastos asociados a la implementación de nuevas leyes federales o reformas a las mismas (E = e1 + e2)</t>
  </si>
  <si>
    <t>e1) Nombre del Programa o Ley 1</t>
  </si>
  <si>
    <t>e2) Nombre del Programa o Ley 2</t>
  </si>
  <si>
    <t>F. Sentencias laborales definitivas</t>
  </si>
  <si>
    <t>II. Gasto Etiquetado (II=A+B+C+D+E+F)</t>
  </si>
  <si>
    <t>III. Total del Gasto en Servicios Personales (III = I + II)</t>
  </si>
  <si>
    <t>1. Total de Egresos Presupuestarios</t>
  </si>
  <si>
    <t>Otros Egresos Presupuestales No Contables</t>
  </si>
  <si>
    <t>Otros Gastos Contables No Presupuestales</t>
  </si>
  <si>
    <t>4. Total de Gasto Contable  (4=  1  -  2  +  3 )</t>
  </si>
  <si>
    <t xml:space="preserve">                                                  (pesos)</t>
  </si>
  <si>
    <t>Identificacion del crédito o Instrumento</t>
  </si>
  <si>
    <t>Contratacion / Colocación</t>
  </si>
  <si>
    <t>Amortización</t>
  </si>
  <si>
    <t>A</t>
  </si>
  <si>
    <t>B</t>
  </si>
  <si>
    <t>C=A-B</t>
  </si>
  <si>
    <t>Créditos Bancarios</t>
  </si>
  <si>
    <t>Total Créditos Bancarios</t>
  </si>
  <si>
    <t>Otros Instrumentos de Deuda</t>
  </si>
  <si>
    <t>Total Otros Instrumentos de Deuda</t>
  </si>
  <si>
    <t>TOTAL</t>
  </si>
  <si>
    <t>Intereses de la Deuda</t>
  </si>
  <si>
    <t xml:space="preserve">                                                                                          (pesos)</t>
  </si>
  <si>
    <t>Total de Interéses Créditos Bancarios</t>
  </si>
  <si>
    <t>Total Intereses Otros Instrumentos de Deuda</t>
  </si>
  <si>
    <t>Gasto Por Categoría Programática</t>
  </si>
  <si>
    <t xml:space="preserve">                 (PESOS)</t>
  </si>
  <si>
    <t>Egresos Devengado     Anual</t>
  </si>
  <si>
    <t>Egresos Pagado     Anual</t>
  </si>
  <si>
    <t>Programas</t>
  </si>
  <si>
    <t>Sujetos a Reglas de Operación</t>
  </si>
  <si>
    <t>Otros Subsidios</t>
  </si>
  <si>
    <t xml:space="preserve">   Desempeño de las Funciones:</t>
  </si>
  <si>
    <t>Prestación de Servicios Públicos</t>
  </si>
  <si>
    <t>Provisión de Bienes Públics</t>
  </si>
  <si>
    <t>Planeación, Seguimiento y Evaluación de Políticas Públicas</t>
  </si>
  <si>
    <t>Promoción y Fomento</t>
  </si>
  <si>
    <t>Regulación y Supervisión</t>
  </si>
  <si>
    <t>Funciones de las Fuerzas Armadas (Unicamente el Gobierno Federal)</t>
  </si>
  <si>
    <t>Específicos</t>
  </si>
  <si>
    <t>Proyectos de Inversión</t>
  </si>
  <si>
    <t xml:space="preserve">   Administrativos y de Apoyos</t>
  </si>
  <si>
    <t>Apoyo al Proceso Presupuestario y para Mejorar la Eficiencia Institucional</t>
  </si>
  <si>
    <t>Apoyo a la Función Pública y al Mejoramiento de la Gestión</t>
  </si>
  <si>
    <t>Operaciones Ajenas</t>
  </si>
  <si>
    <t xml:space="preserve">   Compromisos</t>
  </si>
  <si>
    <t>Obligaciones de Cumplimiento de Resolición Jurisdiccional</t>
  </si>
  <si>
    <t>Desastres Naturales</t>
  </si>
  <si>
    <t xml:space="preserve">   Obligaciones</t>
  </si>
  <si>
    <t>Aportaciones a la Seguridad Social</t>
  </si>
  <si>
    <t>Aportaciones a Fondos de Estabilización</t>
  </si>
  <si>
    <t>Aportaciones a Fondos de Inversión y Reestructura de Pensiones</t>
  </si>
  <si>
    <t xml:space="preserve">   Programas de gasto Federalizado ( Gobierno Federal)</t>
  </si>
  <si>
    <t>Gasto Federalizado</t>
  </si>
  <si>
    <t xml:space="preserve">   Participaciones a Entidades Federativas y Municipios</t>
  </si>
  <si>
    <t xml:space="preserve">   Costo Financiero, Deuda o Apoyo a Deudores y Ahorradores de la Banca</t>
  </si>
  <si>
    <t xml:space="preserve">   Adeudos de Ejercicios Fiscales Anteriores</t>
  </si>
  <si>
    <t>Gastos por proyectos de Inversión</t>
  </si>
  <si>
    <t xml:space="preserve">                 (pesos)</t>
  </si>
  <si>
    <t>GASTO DE INVERSION EJERCIDO:</t>
  </si>
  <si>
    <t xml:space="preserve">NOMBRE DEL PROYECTO </t>
  </si>
  <si>
    <t xml:space="preserve">MONTO EROGADO </t>
  </si>
  <si>
    <r>
      <t>ORIGEN DEL RECURSO</t>
    </r>
    <r>
      <rPr>
        <b/>
        <sz val="14"/>
        <rFont val="Arial Narrow"/>
        <family val="2"/>
      </rPr>
      <t>*</t>
    </r>
  </si>
  <si>
    <t>*</t>
  </si>
  <si>
    <t>Se deberán informar con todas las fuentes del recurso.</t>
  </si>
  <si>
    <t>Ya sean obras con Recurso Federal, Recurso Estatal e Ingresos Propios del ente Público.</t>
  </si>
  <si>
    <t>Indicadores de Postura Fiscal</t>
  </si>
  <si>
    <t xml:space="preserve">                                                       (pesos)</t>
  </si>
  <si>
    <t>Estimado Original Anual</t>
  </si>
  <si>
    <t>Pagado 3</t>
  </si>
  <si>
    <t>I. Ingresos Presupuestarios (I= 1 + 2 )</t>
  </si>
  <si>
    <t>1. Ingresos Gobierno del Estado 1</t>
  </si>
  <si>
    <t>2. Ingresos Sector Paraestatal  1</t>
  </si>
  <si>
    <t>II. Egresos Presupuestarios ( II= 3+4 )</t>
  </si>
  <si>
    <t>3. Egresos del Gobierno de la Entidad Federativa 2</t>
  </si>
  <si>
    <t>4. Egresos  del Sector Paraestatal  2</t>
  </si>
  <si>
    <t>III. Balance Presupuestario (Superávit o Déficit)  (III= I-II)</t>
  </si>
  <si>
    <t>III. Balance Presupuestario (Superávit o Déficit)</t>
  </si>
  <si>
    <t>IV. Interéses, Comisiones y Gastos de la Deuda</t>
  </si>
  <si>
    <t>V. Balance Primario (superávit o Déficit)   (V= III-IV)</t>
  </si>
  <si>
    <t>A. Financiamiento</t>
  </si>
  <si>
    <t>B. Amortización de la Deuda</t>
  </si>
  <si>
    <t>C. Endeudamiento o Desendeudamiento   (C=A-B)</t>
  </si>
  <si>
    <t>RECOMENDACIONES CONAC</t>
  </si>
  <si>
    <t xml:space="preserve">1 Los Ingresos que se presentan son los ingresos presupuestario totales sin incluir los ingresos por financiamientos. Los Ingresos del Gobierno de la Entidad Federativa corresponden a los del Poder Ejecutivo, Legislativo Judicial y Autónomos. </t>
  </si>
  <si>
    <t>2 Los egresos que se presentan son los egresos presupuestarios totales sin incluir los egresos por amortización. Los egresos del Gobierno de la Entidad Federativa corresponden a los del Poder Ejecutivo, Legislativo, Judicial y Órganos Autónomos 3 Para Ingresos se reportan los ingresos recaudados; para egresos se reportan los egresos pagados</t>
  </si>
  <si>
    <t>3 Para Ingresos se reportan los ingresos recaudados; para egresos se reportan los egresos pagados.</t>
  </si>
  <si>
    <t>Balance Presupuestario - LDF</t>
  </si>
  <si>
    <t>Estimado/</t>
  </si>
  <si>
    <t>Recaudado/</t>
  </si>
  <si>
    <t>A. Ingresos Totales (A = A1+A2+A3)</t>
  </si>
  <si>
    <t>A1. Ingresos de Libre Disposición</t>
  </si>
  <si>
    <t>A2. Transferencias Federales Etiquetadas</t>
  </si>
  <si>
    <t>A3. Financiamiento Neto</t>
  </si>
  <si>
    <r>
      <t>B. Egresos Presupuestarios</t>
    </r>
    <r>
      <rPr>
        <b/>
        <vertAlign val="superscript"/>
        <sz val="7.5"/>
        <color theme="1"/>
        <rFont val="Arial Narrow"/>
        <family val="2"/>
      </rPr>
      <t>1</t>
    </r>
    <r>
      <rPr>
        <b/>
        <sz val="7.5"/>
        <color theme="1"/>
        <rFont val="Arial Narrow"/>
        <family val="2"/>
      </rPr>
      <t xml:space="preserve"> (B = B1+B2)</t>
    </r>
  </si>
  <si>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</si>
  <si>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</si>
  <si>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</si>
  <si>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</si>
  <si>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</si>
  <si>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I. Balance Presupuestario (I = A – B + C)</t>
  </si>
  <si>
    <t>II. Balance Presupuestario sin Financiamiento Neto (II = I - A3)</t>
  </si>
  <si>
    <t>III. Balance Presupuestario sin Financiamiento Neto y sin Remanentes del Ejercicio Anterior (III= II - C)</t>
  </si>
  <si>
    <t>Aprobado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</si>
  <si>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</si>
  <si>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</si>
  <si>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</si>
  <si>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</si>
  <si>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</si>
  <si>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</si>
  <si>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</si>
  <si>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</si>
  <si>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</si>
  <si>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</si>
  <si>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</si>
  <si>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</si>
  <si>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</si>
  <si>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</si>
  <si>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 Balance Presupuestario de Recursos Disponibles (V = A1 + A3.1 – B 1 + C1)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</si>
  <si>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</si>
  <si>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</si>
  <si>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</si>
  <si>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 Balance Presupuestario de Recursos Etiquetados (VII = A2 + A3.2 – B2 + C2)</t>
  </si>
  <si>
    <t>VIII. Balance Presupuestario de Recursos Etiquetados sin Financiamiento Neto (VIII = VII – A3.2)</t>
  </si>
  <si>
    <t xml:space="preserve">                                        (pesos)</t>
  </si>
  <si>
    <t>Fondo, Programa o Convenio</t>
  </si>
  <si>
    <t>Datos de la Cuenta Bancaria</t>
  </si>
  <si>
    <t>Institución Bancaria</t>
  </si>
  <si>
    <t>Número de Cuenta</t>
  </si>
  <si>
    <t>NOTA: La información de este formato es ACUMULADA</t>
  </si>
  <si>
    <t>Matriz de Indicadores de Resultados</t>
  </si>
  <si>
    <t>I.- Información contable</t>
  </si>
  <si>
    <t>Estado de Situación Financiera-Detallado-LDF</t>
  </si>
  <si>
    <t>Informe Analítico de Obligaciones Diferentes de Financiamiento-LDF</t>
  </si>
  <si>
    <t xml:space="preserve">Estado Analítico de Ingresos Detallado-LDF                                 </t>
  </si>
  <si>
    <t xml:space="preserve">Conciliación entre los Ingresos Presupuestarios y Contables      </t>
  </si>
  <si>
    <t>Estado Analítico del Ejercicio Presupuesto de Egresos Detallado-LDF</t>
  </si>
  <si>
    <t>Clasificación Por Objeto del Gasto</t>
  </si>
  <si>
    <t>Clasificación Económica (Por Tipo de Gasto)</t>
  </si>
  <si>
    <t>Por Unidad Administrativa</t>
  </si>
  <si>
    <t>Clasificación Administrativa, Por Poderes</t>
  </si>
  <si>
    <t>Clasificación Administrativa, Por tipo de Organismo o Entidad Paraestatal</t>
  </si>
  <si>
    <t>Estado Analítico del Ejercicio Presupuesto de Egresos -Detallado-LDF</t>
  </si>
  <si>
    <t xml:space="preserve">Estado Analítico del Ejercicio Presupuesto de Egresos - Detallado-LDF  </t>
  </si>
  <si>
    <t>Conciliación entre los Egresos Presupuestarios y los Gastos Contables</t>
  </si>
  <si>
    <t xml:space="preserve">Intereses de la Deuda                                                        </t>
  </si>
  <si>
    <t xml:space="preserve">Informe de Avance Programático </t>
  </si>
  <si>
    <t xml:space="preserve">IV.- Información Complementaria-Anexos. </t>
  </si>
  <si>
    <t xml:space="preserve">                                                                              (PESOS)</t>
  </si>
  <si>
    <t>Hacienda Pública / Patrimonio Generado de Ejercicios Anteriores</t>
  </si>
  <si>
    <t>Exceso o Insuficiencia en la Actualización de la Hacienda Pública / Patrimonio</t>
  </si>
  <si>
    <t>DEPENDENCIA / ENTIDAD</t>
  </si>
  <si>
    <t>UNIDAD ADMINISTRATIVA</t>
  </si>
  <si>
    <t>CLAVE</t>
  </si>
  <si>
    <t>NOMBRE DEL INDICADOR</t>
  </si>
  <si>
    <t>UNI. MEDIDA</t>
  </si>
  <si>
    <t>TIPO META</t>
  </si>
  <si>
    <t>VAL. ACUM.</t>
  </si>
  <si>
    <t>DATOS</t>
  </si>
  <si>
    <t>PROGRAMADO ORIGINAL</t>
  </si>
  <si>
    <t>MODIFICADO</t>
  </si>
  <si>
    <t>REALIZADO</t>
  </si>
  <si>
    <t xml:space="preserve">% DE AVANCE </t>
  </si>
  <si>
    <t>PRIMERO</t>
  </si>
  <si>
    <t>SEGUNDO</t>
  </si>
  <si>
    <t>TERCERO</t>
  </si>
  <si>
    <t>CUARTO</t>
  </si>
  <si>
    <t>ANUAL</t>
  </si>
  <si>
    <t>TRIM</t>
  </si>
  <si>
    <t>MET</t>
  </si>
  <si>
    <t>NUM</t>
  </si>
  <si>
    <t>DEN</t>
  </si>
  <si>
    <t>EVALUACIÓN CUALITATIVA</t>
  </si>
  <si>
    <t>Este formato se genera desde el sistema   http://presupuesto.sonora.gob.mx</t>
  </si>
  <si>
    <t>Dependencia y/o Entidad:</t>
  </si>
  <si>
    <t>Programa Presupuestario:</t>
  </si>
  <si>
    <t>Eje del PED:</t>
  </si>
  <si>
    <t>Reto del PED:</t>
  </si>
  <si>
    <t>Beneficiarios:</t>
  </si>
  <si>
    <t>Resumen narrativo</t>
  </si>
  <si>
    <t>Indicadores</t>
  </si>
  <si>
    <t>Línea base</t>
  </si>
  <si>
    <t>Meta 2018</t>
  </si>
  <si>
    <t>Medios de verificación</t>
  </si>
  <si>
    <t>Supuestos</t>
  </si>
  <si>
    <t>Avance al período</t>
  </si>
  <si>
    <t>% de Avance</t>
  </si>
  <si>
    <t>(Objetivos)</t>
  </si>
  <si>
    <t>Nombre</t>
  </si>
  <si>
    <t>Fórmula</t>
  </si>
  <si>
    <t>Sentido</t>
  </si>
  <si>
    <t>Unidad de medida</t>
  </si>
  <si>
    <t>Frecuencia</t>
  </si>
  <si>
    <t>Valor 2016</t>
  </si>
  <si>
    <t>(Fuentes)</t>
  </si>
  <si>
    <t>FIN</t>
  </si>
  <si>
    <t>PROPÓSITO</t>
  </si>
  <si>
    <t xml:space="preserve">COMPONENTE </t>
  </si>
  <si>
    <t xml:space="preserve">ACTIVIDAD </t>
  </si>
  <si>
    <t>Gasto por Programa Presupuestario (NO APLICA)</t>
  </si>
  <si>
    <t>Relación de esquemas bursátiles y de coberturas financieras (SOLO EN CUENTA PÚBLICA)</t>
  </si>
  <si>
    <t>Relación de Bienes que Componen su Patrimonio (SEGUNDO TRIMESTRE y CUENTA PÚBLICA)</t>
  </si>
  <si>
    <t xml:space="preserve">   Subsidios: Sector Social y Privado o Estados y Municipios</t>
  </si>
  <si>
    <t>Ingresos Finanacieros</t>
  </si>
  <si>
    <t xml:space="preserve">Aprovechamientos Patrimoniales </t>
  </si>
  <si>
    <t>1. Total de Ingresos Presupuestarios</t>
  </si>
  <si>
    <t>2.Mas Ingresos contables No Presupuestarios</t>
  </si>
  <si>
    <t>3.Menos Ingresos Presupuestarios No Contables</t>
  </si>
  <si>
    <t>4. Total de Ingresos Contables  (4=  1  +  2  -  3 )</t>
  </si>
  <si>
    <t xml:space="preserve">2. Menos Egresos Presupuestarios No Contables </t>
  </si>
  <si>
    <t xml:space="preserve">Materias Primas y Materiales de Producción y Comercializacíon </t>
  </si>
  <si>
    <t xml:space="preserve">Materiales y Suministros </t>
  </si>
  <si>
    <t>3. Más Gastos Contables No Presupuestarios</t>
  </si>
  <si>
    <t xml:space="preserve">Productos </t>
  </si>
  <si>
    <t xml:space="preserve">Aprovechamientos </t>
  </si>
  <si>
    <t xml:space="preserve">Participaciones, Aportaciones, Convenios, Incentivos Derivados de la Colaboración Fiscal, Fondos Distintos de Aportaciones, Transferencias, Asignaciones, Subsidios y Subvenciones, y Pensiones y Juvilaciones </t>
  </si>
  <si>
    <t xml:space="preserve">Participaciones,  Aportaciones, Convenios, Incentivos Derivados de la Colaboracion Fiscal y Fondos Distintos de Aportaciones </t>
  </si>
  <si>
    <t>Rubros de  Ingresos</t>
  </si>
  <si>
    <t>Estimado</t>
  </si>
  <si>
    <t xml:space="preserve">Recaudado </t>
  </si>
  <si>
    <t>Ingresos por Ventas de Bienes, Prestacion de Servicios y Otros Ingresos</t>
  </si>
  <si>
    <t xml:space="preserve">Participaciones, Aportaciones, Convenios, Incentivos Derivados de la Colaboracción Fiscal y Fondos Distintos de Aportaciones </t>
  </si>
  <si>
    <t xml:space="preserve">Ingresos Excedentes </t>
  </si>
  <si>
    <t>Estado Analitico de Ingresos Por Fuente de Financiamiento</t>
  </si>
  <si>
    <t xml:space="preserve">Ingresos del Poder Ejecutivo Federal o Estatal y de los Municipios </t>
  </si>
  <si>
    <t xml:space="preserve">Transferencias, Asignaciones, Subsidios y Subvenciones, y Pensiones y Jubilaciones </t>
  </si>
  <si>
    <t>Ingresos De los Entes Públicos de los Poderes Legislativo y Judicial, de los Órganos Autonomos y del Sector Paraestatal o Paramunicipal, asi como de las Empresas Productivas del Estado</t>
  </si>
  <si>
    <t>G. Ingresos por Ventas de Bienes y Prestación de Servicios</t>
  </si>
  <si>
    <t>J. Transferencias y Asignaciones</t>
  </si>
  <si>
    <t>Ingresos de  Gestión</t>
  </si>
  <si>
    <t>Ingresos por Venta de Bienes y Prestación de Servicios</t>
  </si>
  <si>
    <t>Transferencias, Asignaciones, Subsidios y Subvenciones, y Pensiones y Jubilaciones</t>
  </si>
  <si>
    <t xml:space="preserve">Participaciones, Aportaciones, Convenios, Incentivos Derivados de la Colaboración Fiscal y Fondos Distintos de Aportaciones </t>
  </si>
  <si>
    <t>Aumento por Insuficiencia de Estimaciones por Pérdida o Deterioro u Obsolescencia</t>
  </si>
  <si>
    <t xml:space="preserve">     Interno</t>
  </si>
  <si>
    <t xml:space="preserve">     Externo</t>
  </si>
  <si>
    <r>
      <t>Productos</t>
    </r>
    <r>
      <rPr>
        <vertAlign val="superscript"/>
        <sz val="10"/>
        <color theme="1"/>
        <rFont val="Arial Narrow"/>
        <family val="2"/>
      </rPr>
      <t>1</t>
    </r>
  </si>
  <si>
    <r>
      <t>Aprovechamientos</t>
    </r>
    <r>
      <rPr>
        <vertAlign val="superscript"/>
        <sz val="10"/>
        <color theme="1"/>
        <rFont val="Arial Narrow"/>
        <family val="2"/>
      </rPr>
      <t>2</t>
    </r>
  </si>
  <si>
    <r>
      <t>Ingresos por ventas de Bienes, Prestación de Servicios y Otros Ingresos</t>
    </r>
    <r>
      <rPr>
        <vertAlign val="superscript"/>
        <sz val="10"/>
        <color theme="1"/>
        <rFont val="Arial Narrow"/>
        <family val="2"/>
      </rPr>
      <t>3</t>
    </r>
  </si>
  <si>
    <t>D. Transferencias, Asignaciones, Subsidios y Subvenciones, y Pensiones y Jubilaciones</t>
  </si>
  <si>
    <t>Otros Ingresos Contables No Presupuestarios</t>
  </si>
  <si>
    <t>Otros Ingresos Presupuestarios No Contables</t>
  </si>
  <si>
    <t>Arctivos Biológicos</t>
  </si>
  <si>
    <t>Armonización de la Deuda Pública</t>
  </si>
  <si>
    <t>Adeudos de Ejercicios Fiscales Anteriores (ADEFAS)</t>
  </si>
  <si>
    <r>
      <rPr>
        <b/>
        <vertAlign val="superscript"/>
        <sz val="9"/>
        <color theme="0" tint="-0.34998626667073579"/>
        <rFont val="Arial Narrow"/>
        <family val="2"/>
      </rPr>
      <t>1</t>
    </r>
    <r>
      <rPr>
        <b/>
        <sz val="9"/>
        <color theme="0" tint="-0.34998626667073579"/>
        <rFont val="Arial Narrow"/>
        <family val="2"/>
      </rPr>
      <t xml:space="preserve"> </t>
    </r>
    <r>
      <rPr>
        <sz val="9"/>
        <color theme="0" tint="-0.34998626667073579"/>
        <rFont val="Arial Narrow"/>
        <family val="2"/>
      </rPr>
      <t>Incluye interesesque generan las cuentas bancarias de los entes públicos en productos.</t>
    </r>
  </si>
  <si>
    <r>
      <rPr>
        <b/>
        <vertAlign val="superscript"/>
        <sz val="9"/>
        <color theme="0" tint="-0.34998626667073579"/>
        <rFont val="Arial Narrow"/>
        <family val="2"/>
      </rPr>
      <t>2</t>
    </r>
    <r>
      <rPr>
        <vertAlign val="superscript"/>
        <sz val="9"/>
        <color theme="0" tint="-0.34998626667073579"/>
        <rFont val="Arial Narrow"/>
        <family val="2"/>
      </rPr>
      <t xml:space="preserve"> </t>
    </r>
    <r>
      <rPr>
        <sz val="9"/>
        <color theme="0" tint="-0.34998626667073579"/>
        <rFont val="Arial Narrow"/>
        <family val="2"/>
      </rPr>
      <t>Incluye donativos en efectivo del Poder Ejecutivo, entre otros aprovechamientos.</t>
    </r>
  </si>
  <si>
    <r>
      <rPr>
        <b/>
        <vertAlign val="superscript"/>
        <sz val="9"/>
        <color theme="0" tint="-0.34998626667073579"/>
        <rFont val="Arial Narrow"/>
        <family val="2"/>
      </rPr>
      <t>3</t>
    </r>
    <r>
      <rPr>
        <sz val="9"/>
        <color theme="0" tint="-0.34998626667073579"/>
        <rFont val="Arial Narrow"/>
        <family val="2"/>
      </rPr>
      <t xml:space="preserve"> Se refiere a los ingresos propios obtenidos por los Poderes Legislativo y Judicial, los Organos Autónomos y las entidades de la administracion pública paraestataly paramunicipal, por sus actividades diversas no inherentes a su operación que general recursos y que no sean ingresos por venta de bienes o prestación de servicios, tales como donativos en efectivo, entre otros.</t>
    </r>
  </si>
  <si>
    <r>
      <rPr>
        <b/>
        <sz val="9"/>
        <color theme="0" tint="-0.34998626667073579"/>
        <rFont val="Arial Narrow"/>
        <family val="2"/>
      </rPr>
      <t>1</t>
    </r>
    <r>
      <rPr>
        <sz val="9"/>
        <color theme="0" tint="-0.34998626667073579"/>
        <rFont val="Arial Narrow"/>
        <family val="2"/>
      </rPr>
      <t>. Se deberán incluir los Ingresos Contables No Presupuestarios que no se regularizaron presupuestariamente durante el ejercicio</t>
    </r>
  </si>
  <si>
    <r>
      <rPr>
        <b/>
        <sz val="9"/>
        <color theme="0" tint="-0.34998626667073579"/>
        <rFont val="Arial Narrow"/>
        <family val="2"/>
      </rPr>
      <t>2</t>
    </r>
    <r>
      <rPr>
        <sz val="9"/>
        <color theme="0" tint="-0.34998626667073579"/>
        <rFont val="Arial Narrow"/>
        <family val="2"/>
      </rPr>
      <t>. Los Ingresos Financieros y otros ingresos se regularizarán presupuestariamente de acuerdo a la legislacion aplicable</t>
    </r>
  </si>
  <si>
    <t>Pagado
Acumulado al periodo</t>
  </si>
  <si>
    <t>Ejercido
Acumulado al periodo</t>
  </si>
  <si>
    <t>Devengado
Acumulado al periodo</t>
  </si>
  <si>
    <t>Comprometido
Acumulado al Periodo</t>
  </si>
  <si>
    <t>Modificado Anual</t>
  </si>
  <si>
    <t>Ampliaciones / Reducciones</t>
  </si>
  <si>
    <t>Aprobado Anual</t>
  </si>
  <si>
    <t>Área y/o Ubicación Geográfica</t>
  </si>
  <si>
    <t>Fondo (Aportaciones Multiples, Convenios,etc..) (Alfanumerico) (FASS, FASP,etc)</t>
  </si>
  <si>
    <t>Fuente de Financiamiento (Federal, Estatal, Ingresos Propios)</t>
  </si>
  <si>
    <t>Tipo de Financiamiento (1. Gasto No Etiquetado, 2 Gasto Etiquetado)</t>
  </si>
  <si>
    <t>Año
Año de origen del recurso</t>
  </si>
  <si>
    <t>Tipo de Gasto
(1 Gto Corriente, 2 Gto de Capital)</t>
  </si>
  <si>
    <t>Clasificador por Objeto del Gasto
(Partida del Gasto)</t>
  </si>
  <si>
    <t>Servicios Personales por Categoría</t>
  </si>
  <si>
    <t>Tipo de Beneficiario</t>
  </si>
  <si>
    <t>Actividad o Proyecto</t>
  </si>
  <si>
    <t>Programa Presupuestario</t>
  </si>
  <si>
    <t>Subfunción</t>
  </si>
  <si>
    <t>Función</t>
  </si>
  <si>
    <t>Finalidad</t>
  </si>
  <si>
    <t>CENTRO GESTOR
Unidad Administrativa</t>
  </si>
  <si>
    <t>PRESUPUESTO DE EGRESOS</t>
  </si>
  <si>
    <t>FONDO</t>
  </si>
  <si>
    <t>POSICION PRESUPUESTARIA</t>
  </si>
  <si>
    <t>AREA FUNCIONAL</t>
  </si>
  <si>
    <t xml:space="preserve">CLASIFICACIÓN ADMINISTRATIVA </t>
  </si>
  <si>
    <t>Tipo de Recurso (1)</t>
  </si>
  <si>
    <t>Desglose de saldo en Bancos e Inversiones</t>
  </si>
  <si>
    <t>Desglose del saldo presentado en el formato ETCA-I-02, en el inciso A4), de la Cuenta:
INVERSIONES TEMPORALES (HASTA 3 MESES)</t>
  </si>
  <si>
    <t>Desglose del saldo presentado en el formato ETCA-I-02, en el inciso B1), de la Cuenta:
INVERSIONES FINANCIERAS DE CORTO PLAZO</t>
  </si>
  <si>
    <t>Desglose del saldo presentado en el formato ETCA-I-02, en el inciso A) del Activo No Circulante, de la Cuenta:
INVERSIONES FINANCIERAS A LARGO PLAZO</t>
  </si>
  <si>
    <t>Nota: En caso de que la cuenta bancaria tenga los dos tipos de recursos, presentar dos veces la misma cuenta separando los saldos por tipo de recurso.</t>
  </si>
  <si>
    <t>1) Tipo de Recurso: Federal o Estatal (incluye Ingresos Propios)</t>
  </si>
  <si>
    <t>Anexo A</t>
  </si>
  <si>
    <t>Anexo B</t>
  </si>
  <si>
    <t>Anexo C</t>
  </si>
  <si>
    <t>Gasto de acuerdo a la Estructura Programática (LAYOUT EXCEL)</t>
  </si>
  <si>
    <t>RADIO SONORA</t>
  </si>
  <si>
    <t>M.N.</t>
  </si>
  <si>
    <t>México</t>
  </si>
  <si>
    <t>a) Otros Pasivos</t>
  </si>
  <si>
    <t>NADA QUE INFORMAR EN ESTE APARTADO</t>
  </si>
  <si>
    <t>I) NOTAS AL ESTADO DE SITUACIÓN FINANCIERA</t>
  </si>
  <si>
    <t>Efectivo y equivalentes</t>
  </si>
  <si>
    <t>El efectivo y sus equivalentes están representados principalmente por depósitos bancarios con vencimientos no mayores a 90 días y se presentan valuados a su costo de adquisición más intereses ganados.</t>
  </si>
  <si>
    <t>SALDO AL</t>
  </si>
  <si>
    <t>CONCEPTO</t>
  </si>
  <si>
    <t>Caja</t>
  </si>
  <si>
    <t>Cuentas de cheques</t>
  </si>
  <si>
    <t>Depósitos en Garantía</t>
  </si>
  <si>
    <t>El efectivo es totalmente disponible y no tiene ninguna restricción.</t>
  </si>
  <si>
    <t>Derechos a recibir Efectivo y Equivalentes y Bienes y Servicios a Recibir</t>
  </si>
  <si>
    <t>CUENTA</t>
  </si>
  <si>
    <t>Cuentas por Cobrar a corto plazo</t>
  </si>
  <si>
    <t>Deudores Diversos por Cobrar a corto plazo</t>
  </si>
  <si>
    <t>Ingresos por recuperar a corto plazo</t>
  </si>
  <si>
    <t>Otros Derechos a Recibir Bienes o Servicios</t>
  </si>
  <si>
    <t>a)</t>
  </si>
  <si>
    <t>b)</t>
  </si>
  <si>
    <t>El saldo Deudores Diversos por cobrar a corto plazo se integra recursos pendientes de comprobar y descuentos por aplicar a empleados.</t>
  </si>
  <si>
    <t>c)</t>
  </si>
  <si>
    <t>El saldo de Ingresos por Recuperar a corto plazo se integra por el subsidio para el empleo.</t>
  </si>
  <si>
    <t>d)</t>
  </si>
  <si>
    <t>El saldo de depósitos en garantía corresponde a depósito solicitado por la CFE por contrato realizado.</t>
  </si>
  <si>
    <t>Bienes muebles, Inmuebles e Intangibles</t>
  </si>
  <si>
    <t>Se registran al costo de adquisición e instalación, incluido el Impuesto al Valor Agregado. Se realizó el registro de depreciación de acuerdo a la normativa del CONAC</t>
  </si>
  <si>
    <t>Cuentas por pagar a corto plazo</t>
  </si>
  <si>
    <t>Servicios Personales por Pagar a corto plazo</t>
  </si>
  <si>
    <t>Proveedores por pagar a Corto plazo</t>
  </si>
  <si>
    <t>Retenciones y contribuciones por pagar a corto plazo</t>
  </si>
  <si>
    <t>Otras Cuentas por Pagar a Corto Plazo</t>
  </si>
  <si>
    <t>Ingresos por Clasificar</t>
  </si>
  <si>
    <t>El saldo de Servicios Personales por Pagar a corto plazo se integra por aportación para la atención de enfermedades preexistentes al ISSSTESON y primas por años de servicio trabajados.</t>
  </si>
  <si>
    <t>El rubro de Retenciones y Contribuciones por pagar a corto plazo se integra por las  retenciones realizadas por conceptos de sueldos, honorarios, arrendamientos, SUTSPES, Tu lanita rápida, Fifaco, entre las que más se destacan, aún no enteradas.</t>
  </si>
  <si>
    <t>El saldo de la cuenta de Ingresos por Clasificar corresponde a ingresos propios pendientes de cobro que se generaron en ejercicios anteriores.</t>
  </si>
  <si>
    <t>II) NOTAS AL ESTADO DE ACTIVIDADES</t>
  </si>
  <si>
    <t>Ingresos de Gestión</t>
  </si>
  <si>
    <t>Otros Ingresos de ejercicios anteriores</t>
  </si>
  <si>
    <t xml:space="preserve">        Total de ingresos</t>
  </si>
  <si>
    <t>Los ingresos por Transferencias, Asignaciones, Subsidios y Otras Aportaciones se registran al recibir el pago, así como otros ingresos y beneficios varios y cuando se refiere a Ingresos por Venta de Bienes y Servicios, al conocerse el importe por la venta de servicios radiofónicos, en este caso al emitir factura por venta de servicios radiofónicos.</t>
  </si>
  <si>
    <t>Gastos y otras pérdidas</t>
  </si>
  <si>
    <t>Los egresos se registran según las cantidades de efectivo que se afectan al momento en que se consideran devengados contablemente.</t>
  </si>
  <si>
    <t>III) NOTAS AL ESTADO DE VARIACIONES EN LA HACIENDA PÚBLICA PATRIMONIO</t>
  </si>
  <si>
    <t>Radio Sonora gozará, respecto de su patrimonio, de las franquicias y prerrogativas concedidas a los fondos y bienes del Estado. Dichos bienes, así como sus actos y contratos que celebre quedarán exentos de todos los impuestos y derechos estatales.</t>
  </si>
  <si>
    <t>El patrimonio de la Entidad se integra por:</t>
  </si>
  <si>
    <t>I.</t>
  </si>
  <si>
    <t>II.</t>
  </si>
  <si>
    <t>Los subsidios que le sean asignados por la Federación, el Estado y los Municipios;</t>
  </si>
  <si>
    <t>III.</t>
  </si>
  <si>
    <t>Las aportaciones, donaciones, herencias, legados y fideicomisos que se hicieran a su favor;</t>
  </si>
  <si>
    <t>IV.</t>
  </si>
  <si>
    <t>Cualquier otro ingreso que se derive de la administración de los bienes a su cargo; y</t>
  </si>
  <si>
    <t>V.</t>
  </si>
  <si>
    <t>Los bienes y recursos que perciba por cualquier otro título legal.</t>
  </si>
  <si>
    <t>IV) NOTAS AL ESTADO DE FLUJOS DE EFECTIVO</t>
  </si>
  <si>
    <t>El análisis de los saldos inicial y final que figuran en la última parte del Estado de Flujos de Efectivo en la cuenta de efectivo y equivalente es como sigue:</t>
  </si>
  <si>
    <t>b) NOTAS DE MEMORIA (CUENTAS DE ORDEN)</t>
  </si>
  <si>
    <t>CUENTAS DE ORDEN CONTABLE</t>
  </si>
  <si>
    <t>Bienes bajo contrato en comodato</t>
  </si>
  <si>
    <t>CUENTAS DE ORDEN PRESUPUESTAL DE LOS INGRESOS</t>
  </si>
  <si>
    <t>Ley de Ingresos Estimada</t>
  </si>
  <si>
    <t>Ley de Ingresos por Ejecutar</t>
  </si>
  <si>
    <t>Modificaciones a la Ley de Ingresos Estimada</t>
  </si>
  <si>
    <t>Ley de Ingresos devengada</t>
  </si>
  <si>
    <t>Ley de Ingresos Recaudada</t>
  </si>
  <si>
    <t>CUENTAS DE ORDEN PRESUPUESTAL DE LOS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</si>
  <si>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</si>
  <si>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</si>
  <si>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</si>
  <si>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</si>
  <si>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</si>
  <si>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</si>
  <si>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</si>
  <si>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c) NOTAS DE GESTIÓN ADMINISTRATIVA</t>
  </si>
  <si>
    <t>INTRODUCCIÓN</t>
  </si>
  <si>
    <t>De conformidad con las disposiciones previstas en los artículos 52 de la Ley Orgánica del poder Ejecutivo del Estado de Sonora y 18 del Reglamento de la Ley del Presupuesto de Egresos, Contabilidad Gubernamental y Gasto Público Estatal, Los presupuestos anuales de egresos de las entidades serán aprobados por los órganos de Gobierno de las mismas y tendrán la misma temporalidad, fines y objeto que el presupuesto de egresos del Estado.</t>
  </si>
  <si>
    <t>2.- PANORAMA ECONÓMICO Y FINANCIERO</t>
  </si>
  <si>
    <t>3.- AUTORIZACIÓN E HISTORIA</t>
  </si>
  <si>
    <t>Radio Sonora fue creada mediante el Decreto publicado el día 26 de Agosto de 1985 en el Boletín Oficial del Gobierno del Estado de Sonora, como un Organismo Público Descentralizado con personalidad jurídica y patrimonio propios.</t>
  </si>
  <si>
    <t>Su estructura ha tenido la última modificación quedando establecida en su Reglamento Interior publicado el 11 de febrero 2008 en Boletín Oficial quedando como sigue:</t>
  </si>
  <si>
    <t>Los órganos de Radio Sonora serán:</t>
  </si>
  <si>
    <t>La Junta Directiva</t>
  </si>
  <si>
    <t>El Consejo Consultivo y</t>
  </si>
  <si>
    <t>El Director General</t>
  </si>
  <si>
    <t>La Junta directiva será la autoridad máxima y se integrará de la siguiente manera:</t>
  </si>
  <si>
    <t>Un presidente que será el Gobernador del Estado de Sonora.</t>
  </si>
  <si>
    <t xml:space="preserve">Por los titulares de las Secretarías de Gobierno, de Planeación del Desarrollo, de Fomento Educativo y Cultura y de Fomento al Turismo; y </t>
  </si>
  <si>
    <t>Tres vocales que serán los titulares de la Secretaría de Hacienda, de Infraestructura Urbana y Ecología y Desarrollo Social.</t>
  </si>
  <si>
    <t>4.- ORGANIZACIÓN Y OBJETO SOCIAL</t>
  </si>
  <si>
    <t>El Objeto de Radio Sonora es operar la radiodifusora cultural XHHB FM, con frecuencia asignada de 94.7 Megahertz y sus repetidoras, permisionadas por la Secretaría de Comunicaciones y Transportes al Gobierno del Estado, así como desarrollar todas aquellas actividades inherentes a dicha operación.</t>
  </si>
  <si>
    <t>Radio Sonora, tiene las siguientes atribuciones para cumplir con su objeto:</t>
  </si>
  <si>
    <t>Fungir como vocero oficial radiofónico del Gobierno del Estado y en forma prioritaria, como emisora piloto de los eventos susceptibles de ser radiodifundidos, generados por el Gobierno Estatal distribuibles a toda la extensión del territorio del Estado;</t>
  </si>
  <si>
    <t>Formular programas de trabajo que se requieran para el cumplimiento de su objeto;</t>
  </si>
  <si>
    <t>Promover actividades radiofónicas y de apoyo a través de su propia estructura y los demás instrumentos que sean necesarios para el cumplimiento de sus programas;</t>
  </si>
  <si>
    <t>Estimular y difundir la participación social, la integración nacional y la descentralización cultural;</t>
  </si>
  <si>
    <t>Coadyuvar en la difusión de la música regional del Estado y de la literatura popular, que procuren incrementar el acervo histórico-cultural del pueblo sonorense;</t>
  </si>
  <si>
    <t>VI.</t>
  </si>
  <si>
    <t>Investigar, publicar y difundir las acciones del desarrollo, a partir de cada uno de los sectores del tejido social y para cada uno de ellos;</t>
  </si>
  <si>
    <t>VII.</t>
  </si>
  <si>
    <t>Celebrar convenios de cooperación, coproducción, intercambio, enlaces y reproducciones con otras emisoras de conformidad con las disposiciones aplicables y ;</t>
  </si>
  <si>
    <t>VIII.</t>
  </si>
  <si>
    <t>Las demás que el Decreto de creación y otros ordenamientos la confieran para el cumplimiento de su objeto.</t>
  </si>
  <si>
    <t>Régimen jurídico: Se instituye como un organismo público descentralizado del Gobierno del Estado con personalidad jurídica y patrimonio propios.</t>
  </si>
  <si>
    <t>Consideraciones fiscales:</t>
  </si>
  <si>
    <t>La entidad no es contribuyente del Impuesto Sobre la Renta, sin embargo es responsable solidario de la retención y entero de los impuestos que correspondan cuando haga pago a terceros por concepto de Honorarios, Arrendamiento, Remuneraciones al personal, entre otros. También tiene la obligación de exigir documentos que reúnan los requisitos fiscales cuando esté obligada a ello en los términos de la Ley del Impuesto Sobre la Renta.</t>
  </si>
  <si>
    <t>Las contribuciones federales, Estatales y municipales, están sujetas a revisión por parte de las autoridades fiscales durante un periodo de 5 años, estando contingentemente obligado al pago de dichas contribuciones, actualizaciones y recargos por posibles diferencias que sean detectadas.</t>
  </si>
  <si>
    <t>Estructura Organizacional básica:</t>
  </si>
  <si>
    <t>Para el cumplimiento de su objeto Radio Sonora contará con los siguientes órganos y Unidades Administrativas:</t>
  </si>
  <si>
    <t>I.- Órgano de Gobierno y de Representación</t>
  </si>
  <si>
    <t>II.- Órgano de Asesoría</t>
  </si>
  <si>
    <t>El Consejo Consultivo</t>
  </si>
  <si>
    <t>III.- Unidades Administrativas:</t>
  </si>
  <si>
    <t>Dirección de Operaciones</t>
  </si>
  <si>
    <t>Dirección de Noticias</t>
  </si>
  <si>
    <t>Dirección Técnica</t>
  </si>
  <si>
    <t>Dirección de Administración</t>
  </si>
  <si>
    <t>5.- BASES DE PREPARACIÓN DE LOS ESTADOS FINANCIEROS</t>
  </si>
  <si>
    <t xml:space="preserve">Los estados financieros adjuntos de la Entidad RADIO SONORA se prepararon de conformidad con las siguientes disposiciones normativas que le son aplicables en su carácter de Organismo Público del Gobierno del Estado de Sonora: </t>
  </si>
  <si>
    <t>a.</t>
  </si>
  <si>
    <t>Se ha observado la normatividad emitida por el CONAC y las disposiciones legales aplicables.</t>
  </si>
  <si>
    <t>b.</t>
  </si>
  <si>
    <t xml:space="preserve"> Los activos de la Entidad se presentan a costo histórico.</t>
  </si>
  <si>
    <t>c.</t>
  </si>
  <si>
    <t>Se cumple con los postulados básicos.</t>
  </si>
  <si>
    <t>d.</t>
  </si>
  <si>
    <t>Las Normas de Información Financiera emitidas por el Consejo Mexicano de Normas de Información Financiera, A. C. que son aplicadas de manera supletoria y que han sido autorizadas por la UCG de la SHCP</t>
  </si>
  <si>
    <t>6.- POLITICAS DE CONTABILIDAD SIGNIFICATIVAS</t>
  </si>
  <si>
    <t>No se ha realizado actualización del valor de los activos, pasivos y Hacienda Pública/Patrimonio reconociéndolos a costo histórico.</t>
  </si>
  <si>
    <t>No se realizaron operaciones en el extranjero.</t>
  </si>
  <si>
    <t>No se cuenta con inversión en acciones de Compañías subsidiarias no consolidadas y asociadas.</t>
  </si>
  <si>
    <t>No se cuenta con inventarios de bienes de consumo.</t>
  </si>
  <si>
    <t>e)</t>
  </si>
  <si>
    <t>f)</t>
  </si>
  <si>
    <t>g)</t>
  </si>
  <si>
    <t>No se cuenta con reservas.</t>
  </si>
  <si>
    <t>h)</t>
  </si>
  <si>
    <t>No se cuenta con cambios en políticas contables y corrección de errores.</t>
  </si>
  <si>
    <t>7.-  POSICIÓN EN MONEDA EXTRANJERA Y PROTECCIÓN DE RIESGO CAMBIARIO.</t>
  </si>
  <si>
    <t>No se cuenta con Activos en moneda extrajera. Los activos adquiridos en moneda extranjera se registran en moneda nacional al tipo de cambio de la fecha de adquisición.</t>
  </si>
  <si>
    <t>No se cuenta con pasivos en moneda extranjera</t>
  </si>
  <si>
    <t>No se cuenta con moneda extrajera.</t>
  </si>
  <si>
    <t>No se requiere el tipo de cambio.</t>
  </si>
  <si>
    <t>No se requiere el equivalente en moneda nacional.</t>
  </si>
  <si>
    <t>8.- REPORTE ANALITICO DEL ACTIVO</t>
  </si>
  <si>
    <t>La vida útil o porcentajes de depreciación, deterioro o amortización utilizados están apegados a los parámetros de estimación de vida útil emitidos por el CONAC y son los siguientes:</t>
  </si>
  <si>
    <t>Equipo de Cómputo</t>
  </si>
  <si>
    <t>Maquinaria, otros equipos y herramienta</t>
  </si>
  <si>
    <t>El porcentaje de depreciación o valor residual de los activos no cambia.</t>
  </si>
  <si>
    <t>No hay gastos capitalizados en el ejercicio, tanto financieros como de investigación y desarrollo.</t>
  </si>
  <si>
    <t>No hay inversiones financieras.</t>
  </si>
  <si>
    <t>No hay bienes construidos por la Entidad.</t>
  </si>
  <si>
    <t>No hay otras circunstancias de carácter significativo que afecten el activo, tales como bienes en garantía, señalados en embargos, litigios, títulos de inversiones entregados en garantías, títulos de inversiones entregados en garantías, baja significativa del valor de inversiones financieras, etc.</t>
  </si>
  <si>
    <t>No hay desmantelamiento de Activos, procedimientos, implicaciones, efectos contables, etc.</t>
  </si>
  <si>
    <t>Los activos se administran con los resguardos correspondientes y bitácoras de uso, donde se requiere para la administración más efectiva.</t>
  </si>
  <si>
    <t>9.- FIDEICOMISOS, MANDATOS Y ANALOGOS</t>
  </si>
  <si>
    <t>No se cuenta con fideicomisos, mandatos y análogos.</t>
  </si>
  <si>
    <t>10.- REPORTE DE LA RECAUDACIÓN</t>
  </si>
  <si>
    <t>11.- INFORMACIÓN SOBRE LA DEUDA Y EL REPORTE ANALÍTICO DE LA DEUDA</t>
  </si>
  <si>
    <t xml:space="preserve">No se cuenta con deuda contratada, y se observa en el estado analítico de la deuda y otros pasivos, otros pasivos que corresponde principalmente a ingresos por clasificar, que son ingresos que corresponden a ejercicios anteriores no recaudados a la fecha, considerados en este rubro debido al cambio de registro contable, ya que anteriormente se registraba lo que se recaudaba y a partir del 2014 cambia la forma de registro contable en cuanto a ingresos por venta de bienes y servicios, registrándose contablemente como ingreso lo exigible para cobro (en este caso lo facturado). </t>
  </si>
  <si>
    <t>12.- CALIFICACIONES OTORGADAS</t>
  </si>
  <si>
    <t>No se cuenta con transacciones de carácter crediticio.</t>
  </si>
  <si>
    <t>13.- PROCESO DE MEJORA</t>
  </si>
  <si>
    <t>Principales políticas de Control Interno</t>
  </si>
  <si>
    <t>Recursos Financieros</t>
  </si>
  <si>
    <t>El presupuesto de ingresos por concepto de subsidios se establece partiendo de las metas proyectadas en el Plan Operativo Anual.</t>
  </si>
  <si>
    <t>El presupuesto de Ingresos Propios se establece de acuerdo con los convenios proyectados.</t>
  </si>
  <si>
    <t>Recursos Humanos:</t>
  </si>
  <si>
    <t>Cuando existan plazas vacantes, se ocuparán solo en los casos estrictamente necesarios, pidiendo autorización a la Secretaría de Hacienda.</t>
  </si>
  <si>
    <t>Recursos Materiales:</t>
  </si>
  <si>
    <t>Toda solicitud de material deberá hacerse por escrito, la contratación de servicios es responsabilidad única de la Dirección de Administración.</t>
  </si>
  <si>
    <t>Promoción y Desarrollo Institucional:</t>
  </si>
  <si>
    <t>Los Ingresos Propios servirán para fortalecer la capacidad financiera de la entidad y se depositarán en una cuenta bancaria exclusiva para ello. Todos los gastos que se realicen deberán contar con su comprobación respectiva.</t>
  </si>
  <si>
    <t>14.- INFORMACIÓN POR SEGMENTOS</t>
  </si>
  <si>
    <t>Se presenta la información financiera por fuente de financiamiento.</t>
  </si>
  <si>
    <t>Egreso</t>
  </si>
  <si>
    <t>Comprometido</t>
  </si>
  <si>
    <t>Ejercido</t>
  </si>
  <si>
    <t>Fuente de Financiamiento</t>
  </si>
  <si>
    <t>4. Ingresos propios</t>
  </si>
  <si>
    <t>6. Recursos Estatales</t>
  </si>
  <si>
    <t>Total =&gt;</t>
  </si>
  <si>
    <t>15.- EVENTOS POSTERIORES AL CIERRE</t>
  </si>
  <si>
    <t>No existen eventos posteriores al cierre que afecten económicamente.</t>
  </si>
  <si>
    <t>16.- PARTES RELACIONADAS</t>
  </si>
  <si>
    <t>No existen partes relacionadas que pudieran ejercer influencia significativa sobre la toma de decisiones financieras y operativas.</t>
  </si>
  <si>
    <t>17.- RESPONSABILIDAD SOBRE LA PRESENTACIÓN RAZONABLE DE LA INFORMACIÓN CONTABLE</t>
  </si>
  <si>
    <t>Bajo protesta de decir verdad declaramos que los Estados Financieros y sus notas, son razonablemente correctos y son responsabilidad del Emisor.</t>
  </si>
  <si>
    <t xml:space="preserve">      </t>
  </si>
  <si>
    <t>Transferencias, Asignaciones, Subsidios y Pennsiones y Jubilaciones</t>
  </si>
  <si>
    <t>Ingresos por venta de Bienes y Prestacion de Servicios</t>
  </si>
  <si>
    <t>DIRECCION GENERAL</t>
  </si>
  <si>
    <t>DIRECCION DE OPERACIONES</t>
  </si>
  <si>
    <t>DIRECCION DE NOTICIAS</t>
  </si>
  <si>
    <t>DIRECCION TECNICA</t>
  </si>
  <si>
    <t>DIRECCION DE ADMINISTRACION</t>
  </si>
  <si>
    <t>SERVICIOS PERSONALES</t>
  </si>
  <si>
    <t>BBVA BANCOMER</t>
  </si>
  <si>
    <t>0147916000</t>
  </si>
  <si>
    <t>GASTO CORRIENTE</t>
  </si>
  <si>
    <t>0449864644</t>
  </si>
  <si>
    <t>INGRESOS PROPIOS</t>
  </si>
  <si>
    <t>0449864660</t>
  </si>
  <si>
    <t>Estatal</t>
  </si>
  <si>
    <t>MATERIALES Y SUMINISTROS</t>
  </si>
  <si>
    <t>SERVICIOS GENERALES</t>
  </si>
  <si>
    <t>Vencimientos de Derechos a recibir Efectivo y Equivalentes y Bines y Servicios a Recibir</t>
  </si>
  <si>
    <t>90 dias</t>
  </si>
  <si>
    <t>180 dias</t>
  </si>
  <si>
    <t>Menor o Igual a 365 días</t>
  </si>
  <si>
    <t>Mayor a 365 dias</t>
  </si>
  <si>
    <t>DIAS</t>
  </si>
  <si>
    <t>Menos o Igual a 365</t>
  </si>
  <si>
    <t>Mayor a 365</t>
  </si>
  <si>
    <t>MONTO MXN</t>
  </si>
  <si>
    <t>V) CONCILIACIÓN ENTRE LOS INGRESOS PRESUPUESTARIOS Y CONTABLES, ASÍ COMO ENTRE LOS EGRESOS PRESUPUESTARIOS Y LOS GASTOS CONTABLES</t>
  </si>
  <si>
    <t>Conciliación entre los Ingresos Presupuestarios y Contables</t>
  </si>
  <si>
    <t>1.-TOTAL DE INGRESOS PRESUPUESTARIOS</t>
  </si>
  <si>
    <t>2. MÁS INGRESOS CONTABLES NO PRESUPUESTARIOS</t>
  </si>
  <si>
    <t>2.5 OTROS INGRESOS Y BENEFICIOS VARIOS</t>
  </si>
  <si>
    <t>3. MENOS INGRESOS PRESUPUESTARIOS NO CONTABLES</t>
  </si>
  <si>
    <t>4. TOTAL DE INGRESOS CONTABLES</t>
  </si>
  <si>
    <t>1.-TOTAL DE EGRESOS PRESUPUESTARIOS</t>
  </si>
  <si>
    <t>2. MENOS EGRESOS PRESUPUESTARIOS NO CONTABLES</t>
  </si>
  <si>
    <t>2.8 MAQUINARIA, OTROS EQUIPOS Y HERRAMIENTAS</t>
  </si>
  <si>
    <t>3. MÁS GASTOS CONTABLES NO PRESUPUESTARIOS</t>
  </si>
  <si>
    <t>4. TOTAL DE GASTOS CONTABLES</t>
  </si>
  <si>
    <t>Z1</t>
  </si>
  <si>
    <t>2.3 MOBILIARIO Y EQUIPO DE ADMINISTRACION</t>
  </si>
  <si>
    <t>A0</t>
  </si>
  <si>
    <t>11301</t>
  </si>
  <si>
    <t>11304</t>
  </si>
  <si>
    <t>11306</t>
  </si>
  <si>
    <t>11313</t>
  </si>
  <si>
    <t>13101</t>
  </si>
  <si>
    <t>13201</t>
  </si>
  <si>
    <t>13202</t>
  </si>
  <si>
    <t>14102</t>
  </si>
  <si>
    <t>14103</t>
  </si>
  <si>
    <t>14104</t>
  </si>
  <si>
    <t>14106</t>
  </si>
  <si>
    <t>14107</t>
  </si>
  <si>
    <t>14108</t>
  </si>
  <si>
    <t>14109</t>
  </si>
  <si>
    <t>14110</t>
  </si>
  <si>
    <t>14202</t>
  </si>
  <si>
    <t>14303</t>
  </si>
  <si>
    <t>14402</t>
  </si>
  <si>
    <t>14406</t>
  </si>
  <si>
    <t>15101</t>
  </si>
  <si>
    <t>15401</t>
  </si>
  <si>
    <t>15901</t>
  </si>
  <si>
    <t>16101</t>
  </si>
  <si>
    <t>17101</t>
  </si>
  <si>
    <t>21101</t>
  </si>
  <si>
    <t>21401</t>
  </si>
  <si>
    <t>21501</t>
  </si>
  <si>
    <t>21601</t>
  </si>
  <si>
    <t>22101</t>
  </si>
  <si>
    <t>22106</t>
  </si>
  <si>
    <t>24601</t>
  </si>
  <si>
    <t>26101</t>
  </si>
  <si>
    <t>29601</t>
  </si>
  <si>
    <t>31101</t>
  </si>
  <si>
    <t>31301</t>
  </si>
  <si>
    <t>31401</t>
  </si>
  <si>
    <t>31501</t>
  </si>
  <si>
    <t>31701</t>
  </si>
  <si>
    <t>31801</t>
  </si>
  <si>
    <t>32101</t>
  </si>
  <si>
    <t>33101</t>
  </si>
  <si>
    <t>33401</t>
  </si>
  <si>
    <t>33901</t>
  </si>
  <si>
    <t>34101</t>
  </si>
  <si>
    <t>34501</t>
  </si>
  <si>
    <t>35101</t>
  </si>
  <si>
    <t>35501</t>
  </si>
  <si>
    <t>35701</t>
  </si>
  <si>
    <t>35801</t>
  </si>
  <si>
    <t>35901</t>
  </si>
  <si>
    <t>37501</t>
  </si>
  <si>
    <t>37502</t>
  </si>
  <si>
    <t>37901</t>
  </si>
  <si>
    <t>39201</t>
  </si>
  <si>
    <t>39801</t>
  </si>
  <si>
    <t>Listado de Formatos CPCA "Cuenta Publica Contabilidad Armonizada"</t>
  </si>
  <si>
    <t>CPCA-I-01</t>
  </si>
  <si>
    <t>CPCA-I-02</t>
  </si>
  <si>
    <t>CPCA-I-03</t>
  </si>
  <si>
    <t>CPCA-I-04</t>
  </si>
  <si>
    <t>CPCA-I-05</t>
  </si>
  <si>
    <t>CPCA-I-06</t>
  </si>
  <si>
    <t>CPCA-I-07</t>
  </si>
  <si>
    <t>CPCA-I-08</t>
  </si>
  <si>
    <t>CPCA-I-09</t>
  </si>
  <si>
    <t>CPCA-I-10</t>
  </si>
  <si>
    <t>CPCA-I-11</t>
  </si>
  <si>
    <t>CPCA-I-12</t>
  </si>
  <si>
    <t>CPCA-II-01</t>
  </si>
  <si>
    <t>CPCA-II-02</t>
  </si>
  <si>
    <t>CPCA-II-03</t>
  </si>
  <si>
    <t>CPCA-II-04</t>
  </si>
  <si>
    <t>CPCA-II-05</t>
  </si>
  <si>
    <t>CPCA-II-06</t>
  </si>
  <si>
    <t>CPCA-II-07</t>
  </si>
  <si>
    <t>CPCA-II-08</t>
  </si>
  <si>
    <t>CPCA-II-09</t>
  </si>
  <si>
    <t>CPCA-II-10</t>
  </si>
  <si>
    <t>CPCA-II-11</t>
  </si>
  <si>
    <t>CPCA-II-12</t>
  </si>
  <si>
    <t>CPCA-II-13</t>
  </si>
  <si>
    <t>CPCA-II-14</t>
  </si>
  <si>
    <t>CPCA-II-15</t>
  </si>
  <si>
    <t>CPCA-II-16</t>
  </si>
  <si>
    <t>CPCA-II-17</t>
  </si>
  <si>
    <t>CPCA-III-01</t>
  </si>
  <si>
    <t>CPCA-III-02</t>
  </si>
  <si>
    <t>CPCA-III-03</t>
  </si>
  <si>
    <t>CPCA-III-04</t>
  </si>
  <si>
    <t>CPCA-III-05</t>
  </si>
  <si>
    <t>CPCA-IV-01</t>
  </si>
  <si>
    <t>CPCA-IV-02</t>
  </si>
  <si>
    <t>CPCA-IV-03</t>
  </si>
  <si>
    <t>CPCA-IV-04</t>
  </si>
  <si>
    <t>CPCA-IV-05</t>
  </si>
  <si>
    <t xml:space="preserve">Desglose de saldo en Bancos e Inversiones </t>
  </si>
  <si>
    <t>Desglose del saldo presentado en el formato CPCA-I-02, en el inciso A2), de la Cuenta:
BANCOS/TESORERÍA</t>
  </si>
  <si>
    <t>Código</t>
  </si>
  <si>
    <t>15409</t>
  </si>
  <si>
    <t>15417</t>
  </si>
  <si>
    <t>15419</t>
  </si>
  <si>
    <t>15420</t>
  </si>
  <si>
    <t>15424</t>
  </si>
  <si>
    <t>15425</t>
  </si>
  <si>
    <t>15426</t>
  </si>
  <si>
    <t>17105</t>
  </si>
  <si>
    <t>20000</t>
  </si>
  <si>
    <t>30000</t>
  </si>
  <si>
    <t>BANCOS/TESORERÍA</t>
  </si>
  <si>
    <t>BANCOS/DEPENDENCIAS Y OTROS</t>
  </si>
  <si>
    <t>INVERSIONES TEMPORALES (HASTA 3 MESES)</t>
  </si>
  <si>
    <t>FONDOS CON AFECTACIÓN ESPECÍFICA</t>
  </si>
  <si>
    <t>DEPÓSITOS DE FONDOS DE TERCEROS EN GARANTÍA Y/O ADMINISTRACIÓN</t>
  </si>
  <si>
    <t>Total de EFECTIVO Y EQUIVALENTES</t>
  </si>
  <si>
    <t>EFECTIVO</t>
  </si>
  <si>
    <t xml:space="preserve">Conciliación de los Flujos de Efectivo Netos de las Actividades de Operación y la cuenta de Ahorro/Desahorro antes de Rubros Extraordinarios. </t>
  </si>
  <si>
    <r>
      <rPr>
        <b/>
        <sz val="9"/>
        <rFont val="Arial"/>
        <family val="2"/>
      </rPr>
      <t>Ahorro/Desahorro   antes   de   rubros Extraordinarios</t>
    </r>
  </si>
  <si>
    <r>
      <rPr>
        <i/>
        <sz val="9"/>
        <rFont val="Arial"/>
        <family val="2"/>
      </rPr>
      <t>Movimientos de partidas (o rubros) que no afectan al efectivo.</t>
    </r>
  </si>
  <si>
    <t>Depreciación</t>
  </si>
  <si>
    <t>Incrementos en las provisiones</t>
  </si>
  <si>
    <t>Incremento en cuentas por cobrar</t>
  </si>
  <si>
    <t>15416</t>
  </si>
  <si>
    <t>17104</t>
  </si>
  <si>
    <t xml:space="preserve">CLASIFICACION ECONOMICA DE LOS INGRESOS, DE LOS GASTOS Y DEL FINANCIAMIENTO </t>
  </si>
  <si>
    <t xml:space="preserve">Referencia: </t>
  </si>
  <si>
    <t>Clasificador por Rubros de Ingresos (CRI), Clasificador por Objeto del Gasto (COG), Plan de Cuentas (PC).</t>
  </si>
  <si>
    <t>INGRESOS</t>
  </si>
  <si>
    <t>1.1.4</t>
  </si>
  <si>
    <t>Derechos, Productos y Aprovechamientos Corrientes</t>
  </si>
  <si>
    <t>1.1.4.1</t>
  </si>
  <si>
    <t>Derechos No Incluidos en Otros Conceptos</t>
  </si>
  <si>
    <t xml:space="preserve">1.1.6 </t>
  </si>
  <si>
    <t>Venta de Bienes y Servicios de Entidades del Gobierno General / Ingresos de Explotación de Entidades Empresariales</t>
  </si>
  <si>
    <t>1.1.6.3</t>
  </si>
  <si>
    <t>Derechos Administrativos</t>
  </si>
  <si>
    <t>1.1.7</t>
  </si>
  <si>
    <t>Subsidios y Subvenciones Recibidos por Entidades Empresariales Públicas</t>
  </si>
  <si>
    <t>1.1.7.1</t>
  </si>
  <si>
    <t>Subsidios y Subvenciones Recibidos por Entidades Empresariales Públicas No Financieras</t>
  </si>
  <si>
    <t>Variación: Saldo Final – Inicial de las Cuentas Contables</t>
  </si>
  <si>
    <t>Depreciación y Amortización</t>
  </si>
  <si>
    <t>TOTAL DE INGRESOS</t>
  </si>
  <si>
    <t>GASTOS</t>
  </si>
  <si>
    <t>GASTOS CORRIENTES</t>
  </si>
  <si>
    <t>2.1.1</t>
  </si>
  <si>
    <t>Gastos de Consumo de los Entes del Gobierno General/ Gastos de Explotación de las Entidades Empresariales</t>
  </si>
  <si>
    <t>2.1.1.1</t>
  </si>
  <si>
    <t>Remuneraciones</t>
  </si>
  <si>
    <t>2.1.1.1.1</t>
  </si>
  <si>
    <t>Sueldos y Salarios</t>
  </si>
  <si>
    <t>2.1.1.1.2</t>
  </si>
  <si>
    <t>Contribuciones Sociales</t>
  </si>
  <si>
    <t xml:space="preserve">2.1.1.1.3 </t>
  </si>
  <si>
    <t>Impuestos sobre Nóminas</t>
  </si>
  <si>
    <t>2.1.1.2</t>
  </si>
  <si>
    <t>Compra de Bienes y Servicios</t>
  </si>
  <si>
    <t>2.1.1.4</t>
  </si>
  <si>
    <t>GASTOS DE CAPITAL</t>
  </si>
  <si>
    <t>2.2.1</t>
  </si>
  <si>
    <t>Construcciones en Proceso</t>
  </si>
  <si>
    <t>2.2.2</t>
  </si>
  <si>
    <t>Activos Fijos (Formación Bruta de Capital Fijo)</t>
  </si>
  <si>
    <t>2.2.2.2</t>
  </si>
  <si>
    <t>Maquinaria y Equipo</t>
  </si>
  <si>
    <t>2.2.2.2.1</t>
  </si>
  <si>
    <t>Equipo de Transporte</t>
  </si>
  <si>
    <t>2.2.2.2.2</t>
  </si>
  <si>
    <t xml:space="preserve">Equipo de Tecnología de la Información y Comunicaciones </t>
  </si>
  <si>
    <t>2.2.2.2.3</t>
  </si>
  <si>
    <t xml:space="preserve">Otra Maquinaria y Equipo </t>
  </si>
  <si>
    <t xml:space="preserve">2.2.2.3 </t>
  </si>
  <si>
    <t xml:space="preserve">Equipo de Defensa y Seguridad </t>
  </si>
  <si>
    <t>TOTAL DEL GASTO</t>
  </si>
  <si>
    <t>FINANCIAMIENTO</t>
  </si>
  <si>
    <t>FUENTES FINANCIERAS</t>
  </si>
  <si>
    <t>3.1.1</t>
  </si>
  <si>
    <t>Disminución de Activos Financieros</t>
  </si>
  <si>
    <t>3.1.1.1</t>
  </si>
  <si>
    <t>Disminución de Activos Financieros Corrientes (Circulantes)</t>
  </si>
  <si>
    <t>3.1.1.1.1</t>
  </si>
  <si>
    <t>Disminución de Caja y Bancos (Efectivo y Equivalentes)</t>
  </si>
  <si>
    <t>Variación negativa: Saldo Final – Inicial de las Cuentas Contables:</t>
  </si>
  <si>
    <t>3.1.1.1.1.1</t>
  </si>
  <si>
    <t>Efectivo</t>
  </si>
  <si>
    <t>3.1.1.1.1.2</t>
  </si>
  <si>
    <t>Bancos / Tesorería</t>
  </si>
  <si>
    <t>3.1.1.1.1.3</t>
  </si>
  <si>
    <t>Bancos / Dependencias y Otros</t>
  </si>
  <si>
    <t>3.1.1.1.1.4</t>
  </si>
  <si>
    <t>Inversiones Temporales (Hasta 3 meses)</t>
  </si>
  <si>
    <t>3.1.1.1.1.5</t>
  </si>
  <si>
    <t>Fondos con Afectación Específica</t>
  </si>
  <si>
    <t>3.1.1.1.1.6</t>
  </si>
  <si>
    <t>Depósitos de Fondos de Terceros en garantía y Administración</t>
  </si>
  <si>
    <t>3.1.1.1.1.7</t>
  </si>
  <si>
    <t>Otro Efectivo y Equivalentes</t>
  </si>
  <si>
    <t>Variación: Saldo Final – Inicial</t>
  </si>
  <si>
    <t>de las Cuentas Contables</t>
  </si>
  <si>
    <t>3.1.1.1.3</t>
  </si>
  <si>
    <t>Disminución de Cuentas por Cobrar</t>
  </si>
  <si>
    <t xml:space="preserve">Variación: Saldo Final – Inicial </t>
  </si>
  <si>
    <t>3.1.1.1.3.1</t>
  </si>
  <si>
    <t>Cuentas por Cobrar</t>
  </si>
  <si>
    <t>3.1.1.1.3.2</t>
  </si>
  <si>
    <t>Deudores Diversos por Cobrar</t>
  </si>
  <si>
    <t>3.1.1.1.3.3</t>
  </si>
  <si>
    <t>Ingresos por Recuperar</t>
  </si>
  <si>
    <t>3.1.1.1.3.4</t>
  </si>
  <si>
    <t>Deudores por Anticipos de la Tesorería</t>
  </si>
  <si>
    <t>3.1.1.1.4</t>
  </si>
  <si>
    <t xml:space="preserve">Disminución de Documentos por Cobrar </t>
  </si>
  <si>
    <t xml:space="preserve"> de las Cuentas Contables:</t>
  </si>
  <si>
    <t>3.1.1.1.4.1</t>
  </si>
  <si>
    <t>Otros Derechos a Recibir Efectivo o Equivalentes</t>
  </si>
  <si>
    <t>3.1.1.1.5</t>
  </si>
  <si>
    <t>Recuperación de Préstamos Otorgados de Corto Plazo</t>
  </si>
  <si>
    <t>3.1.1.1.6</t>
  </si>
  <si>
    <t xml:space="preserve">Disminución de Otros Activos Financieros Corrientes </t>
  </si>
  <si>
    <t xml:space="preserve">Variación </t>
  </si>
  <si>
    <t>Saldo Final – Inicial</t>
  </si>
  <si>
    <t xml:space="preserve"> de las Cuentas Contables</t>
  </si>
  <si>
    <t>Variación:  Saldo Final – Inicial</t>
  </si>
  <si>
    <t>Documentos por Cobrar</t>
  </si>
  <si>
    <t>Deudores Diversos</t>
  </si>
  <si>
    <t>Otros Activos</t>
  </si>
  <si>
    <t xml:space="preserve">3.1.2 </t>
  </si>
  <si>
    <t>Incremento de Pasivos</t>
  </si>
  <si>
    <t>3.1.2.1</t>
  </si>
  <si>
    <t>Incremento de Pasivos Corrientes</t>
  </si>
  <si>
    <t>3.1.2.1.1</t>
  </si>
  <si>
    <t>Incremento de Cuentas por Pagar</t>
  </si>
  <si>
    <t>3.1.2.1.1.1</t>
  </si>
  <si>
    <t>3.1.2.1.1.2</t>
  </si>
  <si>
    <t>Proveedores por Pagar</t>
  </si>
  <si>
    <t>3.1.2.1.1.3</t>
  </si>
  <si>
    <t>Contratistas por Obras Públicas por Pagar</t>
  </si>
  <si>
    <t>3.1.2.1.1.4</t>
  </si>
  <si>
    <t>Participaciones y Aportaciones por Pagar</t>
  </si>
  <si>
    <t>3.1.2.1.1.5</t>
  </si>
  <si>
    <t>Transferencias Otorgadas por Pagar</t>
  </si>
  <si>
    <t>3.1.2.1.1.6</t>
  </si>
  <si>
    <t>Intereses y Comisiones por Pagar</t>
  </si>
  <si>
    <t>3.1.2.1.1.7</t>
  </si>
  <si>
    <t>Retenciones y Contribuciones por Pagar</t>
  </si>
  <si>
    <t>3.1.2.1.1.8</t>
  </si>
  <si>
    <t>Devoluciones de Contribuciones por Pagar</t>
  </si>
  <si>
    <t>3.1.2.1.1.9</t>
  </si>
  <si>
    <t>Otras Cuentas por Pagar</t>
  </si>
  <si>
    <t>3.1.2.2</t>
  </si>
  <si>
    <t xml:space="preserve">Incremento de Pasivo No Corrientes </t>
  </si>
  <si>
    <t>3.1.3</t>
  </si>
  <si>
    <t>Incremento de Patrimonio</t>
  </si>
  <si>
    <t>TOTAL DE FUENTES FINANCIERAS</t>
  </si>
  <si>
    <t>APLICACIONES FINANCIERAS    (Usos)</t>
  </si>
  <si>
    <t>3.2.1</t>
  </si>
  <si>
    <t>Incremento de Activos Financieros</t>
  </si>
  <si>
    <t>3.2.1.1</t>
  </si>
  <si>
    <t>Incremento de Activos Financieros Corrientes  (Circulantes)</t>
  </si>
  <si>
    <t>3.2.1.1.1</t>
  </si>
  <si>
    <t>Incremento de Caja y Bancos (Efectivo y Equivalentes)</t>
  </si>
  <si>
    <t>Variación Positiva:  Saldo Final – Inicial</t>
  </si>
  <si>
    <t>3.2.1.1.1.1</t>
  </si>
  <si>
    <t>3.2.1.1.1.2</t>
  </si>
  <si>
    <t>3.2.1.1.1.3</t>
  </si>
  <si>
    <t>3.2.1.1.1.4</t>
  </si>
  <si>
    <t>Inversiones Temporales ( Hasta 3 Meses)</t>
  </si>
  <si>
    <t>3.2.1.1.1.5</t>
  </si>
  <si>
    <t>3.2.1.1.1.6</t>
  </si>
  <si>
    <t>Depósitos de Fondo de Terceros en Garantía y/o Administración</t>
  </si>
  <si>
    <t>3.2.1.1.1.7</t>
  </si>
  <si>
    <t>3.2.1.1.3</t>
  </si>
  <si>
    <t>Incremento de Cuentas por Cobrar</t>
  </si>
  <si>
    <t>3.2.1.1.3.1</t>
  </si>
  <si>
    <t>3.2.1.1.3.2</t>
  </si>
  <si>
    <t>3.2.1.1.3.3</t>
  </si>
  <si>
    <t>3.2.1.1.3.4</t>
  </si>
  <si>
    <t>Deudores por Anticipos de Tesorería</t>
  </si>
  <si>
    <t>3.2.1.1.4</t>
  </si>
  <si>
    <t>Incremento de Documentos por Cobrar</t>
  </si>
  <si>
    <t xml:space="preserve"> de las Cuentas contables</t>
  </si>
  <si>
    <t>3.2.1.1.4.1</t>
  </si>
  <si>
    <t>3.2.1.1.5</t>
  </si>
  <si>
    <t>Préstamos Otorgados de Corto Plazo</t>
  </si>
  <si>
    <t>3.2.1.2.2.1</t>
  </si>
  <si>
    <t>3.2.1.2.2.2</t>
  </si>
  <si>
    <t>3.2.1.2.2.3</t>
  </si>
  <si>
    <t>Otros Derechos a Recibir Efectivo y Equivalentes</t>
  </si>
  <si>
    <t>3.2.1.2.2.4</t>
  </si>
  <si>
    <t>3.2.1.2.2.5</t>
  </si>
  <si>
    <t>3.2.2</t>
  </si>
  <si>
    <t>Disminución de Pasivos</t>
  </si>
  <si>
    <t>3.2.2.1</t>
  </si>
  <si>
    <t>Disminución de Pasivos Corrientes</t>
  </si>
  <si>
    <t>3.2.2.1.1</t>
  </si>
  <si>
    <t>Disminución de Cuentas por Pagar</t>
  </si>
  <si>
    <t>3.2.2.1.1.1</t>
  </si>
  <si>
    <t>Servicios Personales por Pagar</t>
  </si>
  <si>
    <t>3.2.2.1.1.2</t>
  </si>
  <si>
    <t>3.2.2.1.1.3</t>
  </si>
  <si>
    <t>3.2.2.1.1.4</t>
  </si>
  <si>
    <t>3.2.2.1.1.5</t>
  </si>
  <si>
    <t>3.2.2.1.1.6</t>
  </si>
  <si>
    <t>Intereses y Comisiones y otros gastos de la Deuda Pública por Pagar</t>
  </si>
  <si>
    <t>3.2.2.1.1.7</t>
  </si>
  <si>
    <t>3.2.2.1.1.8</t>
  </si>
  <si>
    <t>Devoluciones de la Ley de Ingresos por Pagar</t>
  </si>
  <si>
    <t>3.2.2.1.1.9</t>
  </si>
  <si>
    <t>3.2.3</t>
  </si>
  <si>
    <t>Disminución de Patrimonio</t>
  </si>
  <si>
    <t>TOTAL APLICACIONES FINANCIERAS</t>
  </si>
  <si>
    <t>INGRESOS CORRIENTES</t>
  </si>
  <si>
    <t>1.1.1</t>
  </si>
  <si>
    <t>1.1.1.1</t>
  </si>
  <si>
    <t xml:space="preserve">Impuesto sobre el Ingreso, las Utilidades y las Ganancias de Capital  </t>
  </si>
  <si>
    <t>1.1.1.1.1</t>
  </si>
  <si>
    <t>De Personas Físicas</t>
  </si>
  <si>
    <t>1.1.1.1.1.1</t>
  </si>
  <si>
    <t>Impuesto sobre los Ingresos</t>
  </si>
  <si>
    <t>1.1.1.1.2</t>
  </si>
  <si>
    <t>De Empresas y Otras Corporaciones (Personas Morales)</t>
  </si>
  <si>
    <t>1.1.1.1.2.1</t>
  </si>
  <si>
    <t>1.1.1.1.3</t>
  </si>
  <si>
    <t>No Clasificables</t>
  </si>
  <si>
    <t>1.1.1.2</t>
  </si>
  <si>
    <t xml:space="preserve">Impuesto sobre Nómina y la Fuerza de Trabajo  </t>
  </si>
  <si>
    <t>1.1.1.2.1</t>
  </si>
  <si>
    <t>Impuesto sobre Nómina y Asimilables</t>
  </si>
  <si>
    <t>1.1.1.3</t>
  </si>
  <si>
    <t>Impuesto sobre la Propiedad</t>
  </si>
  <si>
    <t>1.1.1.4</t>
  </si>
  <si>
    <t>Impuesto sobre los Bienes y Servicios</t>
  </si>
  <si>
    <t>1.1.1.4.1</t>
  </si>
  <si>
    <t>Impuesto sobre la Producción, el Consumo y las Transacciones</t>
  </si>
  <si>
    <t>1.1.1.4.1.1</t>
  </si>
  <si>
    <t>Impuesto al Valor Agregado</t>
  </si>
  <si>
    <t>1.1.1.4.1.2</t>
  </si>
  <si>
    <t>Impuesto especial sobre Producción y Servicios</t>
  </si>
  <si>
    <t xml:space="preserve">1.1.1.4.1.3 </t>
  </si>
  <si>
    <t>Otros Impuestos Sobre Bienes y Servicios</t>
  </si>
  <si>
    <t>1.1.1.5</t>
  </si>
  <si>
    <t>Impuesto sobre el Comercio y las Transacciones Internacionales / Comercio Exterior</t>
  </si>
  <si>
    <t>1.1.1.5.1</t>
  </si>
  <si>
    <t xml:space="preserve">Impuesto a la Importación </t>
  </si>
  <si>
    <t>1.1.1.5.2</t>
  </si>
  <si>
    <t>Impuesto a la Exportación</t>
  </si>
  <si>
    <t>1.1.1.6</t>
  </si>
  <si>
    <t>Impuestos Ecológicos</t>
  </si>
  <si>
    <t>1.1.1.7</t>
  </si>
  <si>
    <t>Impuesto a los Rendimientos Petroleros</t>
  </si>
  <si>
    <t xml:space="preserve">1.1.1.8 </t>
  </si>
  <si>
    <t>Otros Impuestos</t>
  </si>
  <si>
    <t>1.1.1.9</t>
  </si>
  <si>
    <t>Accesorios</t>
  </si>
  <si>
    <t>1.1.2</t>
  </si>
  <si>
    <t xml:space="preserve">Contribuciones a la Seguridad Social  </t>
  </si>
  <si>
    <t>1.1.2.1</t>
  </si>
  <si>
    <t>Contribuciones de los Empleados</t>
  </si>
  <si>
    <t>1.1.2.2</t>
  </si>
  <si>
    <t>Contribuciones de los Empleadores</t>
  </si>
  <si>
    <t xml:space="preserve">1.1.2.3 </t>
  </si>
  <si>
    <t>Contribuciones de los Trabajadores Por Cuenta Propia o No Empleados</t>
  </si>
  <si>
    <t xml:space="preserve">1.1.2.4 </t>
  </si>
  <si>
    <t>Contribuciones no Clasificables</t>
  </si>
  <si>
    <t>1.1.3</t>
  </si>
  <si>
    <t>1.1.4.2</t>
  </si>
  <si>
    <t>Productos Corrientes No Incluidos en Otros Conceptos</t>
  </si>
  <si>
    <t>1.1.4.3</t>
  </si>
  <si>
    <t>Aprovechamientos Corrientes No Incluidos en Otros Conceptos</t>
  </si>
  <si>
    <t>1.1.5</t>
  </si>
  <si>
    <t>Rentas de la Propiedad</t>
  </si>
  <si>
    <t>1.1.5.1</t>
  </si>
  <si>
    <t>Intereses</t>
  </si>
  <si>
    <t>1.1.5.1.1</t>
  </si>
  <si>
    <t>Internos</t>
  </si>
  <si>
    <t>1.1.5.1.2</t>
  </si>
  <si>
    <t>Externos</t>
  </si>
  <si>
    <t>1.1.5.2</t>
  </si>
  <si>
    <t>Dividendos y Retiros de las Cuasisociedades</t>
  </si>
  <si>
    <t>1.1.5.3</t>
  </si>
  <si>
    <t>Arrendamiento de Tierras y Terrenos</t>
  </si>
  <si>
    <t>1.1.5.4</t>
  </si>
  <si>
    <t>Otros</t>
  </si>
  <si>
    <t>1.1.6.1</t>
  </si>
  <si>
    <t>Venta de Establecimientos No de Mercado</t>
  </si>
  <si>
    <t>1.1.6.2</t>
  </si>
  <si>
    <t>Venta de Establecimientos de Mercado</t>
  </si>
  <si>
    <t>1.1.7.2</t>
  </si>
  <si>
    <t>Subsidios y Subvenciones Recibidos por Entidades Empresariales Públicas Financieras</t>
  </si>
  <si>
    <t xml:space="preserve">1.1.8 </t>
  </si>
  <si>
    <t>Transferencias, Asignaciones y Donativos Corrientes Recibidos</t>
  </si>
  <si>
    <t>1.1.8.1</t>
  </si>
  <si>
    <t>Del Sector Privado</t>
  </si>
  <si>
    <t>1.1.8.2</t>
  </si>
  <si>
    <t>Del Sector Público</t>
  </si>
  <si>
    <t>1.1.8.2.1</t>
  </si>
  <si>
    <t>De la Federación</t>
  </si>
  <si>
    <t>1.1.8.2.1.1</t>
  </si>
  <si>
    <t xml:space="preserve">Transferencias Internas y Asignaciones </t>
  </si>
  <si>
    <t>1.1.8.2.1.2</t>
  </si>
  <si>
    <t>Transferencias del Resto del Sector Público</t>
  </si>
  <si>
    <t>1.1.8.2.1.3</t>
  </si>
  <si>
    <t>1.1.8.2.1.4</t>
  </si>
  <si>
    <t>Transferencias de Fideicomisos, Mandatos y Contratos Análogos</t>
  </si>
  <si>
    <t>1.1.8.2.2</t>
  </si>
  <si>
    <t>De Entidades Federativas</t>
  </si>
  <si>
    <t>1.1.8.2.3</t>
  </si>
  <si>
    <t>De Municipios</t>
  </si>
  <si>
    <t>1.1.8.3</t>
  </si>
  <si>
    <t>Del Sector Externo</t>
  </si>
  <si>
    <t>1.1.8.3.1</t>
  </si>
  <si>
    <t>De Gobiernos Extranjeros</t>
  </si>
  <si>
    <t>1.1.8.3.2</t>
  </si>
  <si>
    <t>De Organismos Internacionales</t>
  </si>
  <si>
    <t>1.1.8.3.3</t>
  </si>
  <si>
    <t>Del Sector Privado Externo</t>
  </si>
  <si>
    <t>1.1.9</t>
  </si>
  <si>
    <t>INGRESOS DE CAPITAL</t>
  </si>
  <si>
    <t>1.2.1</t>
  </si>
  <si>
    <t>Venta (Disposición) de Activos</t>
  </si>
  <si>
    <t>1.2.1.1</t>
  </si>
  <si>
    <t>Venta de Activos Fijos</t>
  </si>
  <si>
    <t>1.2.1.2</t>
  </si>
  <si>
    <t>Venta de Objetos de Valor</t>
  </si>
  <si>
    <t>1.2.1.3</t>
  </si>
  <si>
    <t>Venta de Activos No Producidos</t>
  </si>
  <si>
    <t>1.2.2</t>
  </si>
  <si>
    <t>Disminución de Existencias</t>
  </si>
  <si>
    <t>1.2.2.1</t>
  </si>
  <si>
    <t>1.2.2.2</t>
  </si>
  <si>
    <t>Materias Primas</t>
  </si>
  <si>
    <t>1.2.2.3</t>
  </si>
  <si>
    <t>Trabajos en Curso</t>
  </si>
  <si>
    <t>1.2.2.4</t>
  </si>
  <si>
    <t>Bienes Terminados</t>
  </si>
  <si>
    <t>1.2.2.5</t>
  </si>
  <si>
    <t>Bienes para venta</t>
  </si>
  <si>
    <t>1.2.2.6</t>
  </si>
  <si>
    <t>Bienes en tránsito</t>
  </si>
  <si>
    <t>1.2.2.7</t>
  </si>
  <si>
    <t>Existencias de Material de Seguridad y Defensa</t>
  </si>
  <si>
    <t>1.2.3</t>
  </si>
  <si>
    <t>Incremento de la Depreciación, Amortización, Estimaciones y Provisiones Acumuladas</t>
  </si>
  <si>
    <t>1.2.3.1</t>
  </si>
  <si>
    <t>1.2.3.2</t>
  </si>
  <si>
    <t>Estimaciones por Deterioro de Inventarios</t>
  </si>
  <si>
    <t>1.2.3.3</t>
  </si>
  <si>
    <t>Otras Estimaciones por pérdida o deterioro</t>
  </si>
  <si>
    <t>1.2.3.4</t>
  </si>
  <si>
    <t>1.2.4</t>
  </si>
  <si>
    <t>Transferencias, Asignaciones y Donativos de Capital Recibidas</t>
  </si>
  <si>
    <t xml:space="preserve">1.2.4.1 </t>
  </si>
  <si>
    <t>(Requiere Apertura en cada Nivel de Gobierno)</t>
  </si>
  <si>
    <t>1.2.4.2</t>
  </si>
  <si>
    <t>1.2.4.2.1</t>
  </si>
  <si>
    <t xml:space="preserve">De la Federación </t>
  </si>
  <si>
    <t>1.2.4.2.1.1</t>
  </si>
  <si>
    <t>1.2.4.2.1.2</t>
  </si>
  <si>
    <t>1.2.4.2.1.3</t>
  </si>
  <si>
    <t>1.2.4.2.1.4</t>
  </si>
  <si>
    <t xml:space="preserve">1.2.4.2.2 </t>
  </si>
  <si>
    <t>1.2.4.2.3</t>
  </si>
  <si>
    <t>1.2.4.3</t>
  </si>
  <si>
    <t>(Requiere Apertura a 2do Dígito del CRI)</t>
  </si>
  <si>
    <t>1.2.4.3.1</t>
  </si>
  <si>
    <t>1.2.4.3.2</t>
  </si>
  <si>
    <t>1.2.4.3.3</t>
  </si>
  <si>
    <t>1.2.5</t>
  </si>
  <si>
    <t>Recuperación de Inversiones Financieras Realizadas con Fines de Política</t>
  </si>
  <si>
    <t>CRI 62X*</t>
  </si>
  <si>
    <t>1.2.5.1</t>
  </si>
  <si>
    <t>Venta de Acciones y Participaciones de Capital Adquiridas con Fines de Política</t>
  </si>
  <si>
    <t>1.2.5.2</t>
  </si>
  <si>
    <t>Valores Representativos de Deuda Adquiridos con Fines de Política</t>
  </si>
  <si>
    <t>1.2.5.3</t>
  </si>
  <si>
    <t>Venta de Obligaciones Negociables Adquiridas con Fines de Política</t>
  </si>
  <si>
    <t>1.2.5.4</t>
  </si>
  <si>
    <t>Recuperación de Préstamos Realizados con Fines de Política</t>
  </si>
  <si>
    <t>2.1.1.3</t>
  </si>
  <si>
    <t>Variación de Existencias (Disminución (+) Incremento (-))</t>
  </si>
  <si>
    <t>2.1.1.5</t>
  </si>
  <si>
    <t>2.1.1.6</t>
  </si>
  <si>
    <t>Impuestos sobre los Productos, la Producción y las Importaciones de las Entidades Empresariales</t>
  </si>
  <si>
    <t>2.1.2</t>
  </si>
  <si>
    <t>Prestaciones de la Seguridad Social  (MEFP 6.69)</t>
  </si>
  <si>
    <t>2.1.3</t>
  </si>
  <si>
    <t>Gasto de la Propiedad</t>
  </si>
  <si>
    <t>2.1.3.1</t>
  </si>
  <si>
    <t>2.1.3.1.1</t>
  </si>
  <si>
    <t>Intereses de la Deuda Interna</t>
  </si>
  <si>
    <t>2.1.3.1.2</t>
  </si>
  <si>
    <t>Intereses de la Deuda Externa</t>
  </si>
  <si>
    <t>2.1.3.2</t>
  </si>
  <si>
    <t>Gastos de la Propiedad Distintos de Intereses</t>
  </si>
  <si>
    <t>2.1.3.2.1</t>
  </si>
  <si>
    <t>2.1.3.2.2</t>
  </si>
  <si>
    <t>Arrendamientos de Tierras y Terrenos  (MEFP 6.81)</t>
  </si>
  <si>
    <t>2.1.4</t>
  </si>
  <si>
    <t>Subsidios y Subvenciones a Empresas (MEFP 6.61)</t>
  </si>
  <si>
    <t>2.1.4.1</t>
  </si>
  <si>
    <t xml:space="preserve">A Entidades Empresariales del Sector Privado </t>
  </si>
  <si>
    <t>2.1.4.1.1</t>
  </si>
  <si>
    <t>A Entidades Empresariales no Financieras</t>
  </si>
  <si>
    <t>2.1.4.1.2</t>
  </si>
  <si>
    <t>A Entidades Empresariales Financieras</t>
  </si>
  <si>
    <t>2.1.4.2</t>
  </si>
  <si>
    <t>A Entidades Empresariales del Sector Público</t>
  </si>
  <si>
    <t>2.1.4.2.1</t>
  </si>
  <si>
    <t>A Entidades Empresariales No Financieras</t>
  </si>
  <si>
    <t>2.1.4.2.2</t>
  </si>
  <si>
    <t>2.1.5</t>
  </si>
  <si>
    <t xml:space="preserve">Transferencias, Asignaciones y Donativos Corrientes Otorgados </t>
  </si>
  <si>
    <t xml:space="preserve">2.1.5.1 </t>
  </si>
  <si>
    <t>Al Sector Privado</t>
  </si>
  <si>
    <t>2.1.5.1.1</t>
  </si>
  <si>
    <t>Ayuda a Personas</t>
  </si>
  <si>
    <t>2.1.5.1.2</t>
  </si>
  <si>
    <t>Becas</t>
  </si>
  <si>
    <t>2.1.5.1.3</t>
  </si>
  <si>
    <t>Ayuda a Instituciones</t>
  </si>
  <si>
    <t xml:space="preserve">2.1.5.1.4 </t>
  </si>
  <si>
    <t>Instituciones de Interés Público</t>
  </si>
  <si>
    <t>2.1.5.1.5</t>
  </si>
  <si>
    <t>2.1.5.1.6</t>
  </si>
  <si>
    <t>Fideicomisos, Mandatos y Contratos Análogos</t>
  </si>
  <si>
    <t>2.1.5.1.7</t>
  </si>
  <si>
    <t>Otras</t>
  </si>
  <si>
    <t>2.1.5.2</t>
  </si>
  <si>
    <t>Al Sector Público</t>
  </si>
  <si>
    <t>2.1.5.2.1</t>
  </si>
  <si>
    <t>A la Federación</t>
  </si>
  <si>
    <t>2.1.5.2.1.1</t>
  </si>
  <si>
    <t>2.1.5.2.1.2</t>
  </si>
  <si>
    <t>2.1.5.2.1.3</t>
  </si>
  <si>
    <t>Organismos de la Seguridad Social</t>
  </si>
  <si>
    <t>2.1.5.2.1.4</t>
  </si>
  <si>
    <t>2.1.5.2.2</t>
  </si>
  <si>
    <t>A Entidades Federativas</t>
  </si>
  <si>
    <t>2.1.5.2.3</t>
  </si>
  <si>
    <t>A Municipios</t>
  </si>
  <si>
    <t>2.1.5.3</t>
  </si>
  <si>
    <t>Al Sector Externo</t>
  </si>
  <si>
    <t>2.1.5.3.1</t>
  </si>
  <si>
    <t>A Gobiernos Extranjeros</t>
  </si>
  <si>
    <t>2.1.5.3.2</t>
  </si>
  <si>
    <t>A Organismos Internacionales</t>
  </si>
  <si>
    <t>2.1.5.3.3</t>
  </si>
  <si>
    <t>Al Sector Privado Externo</t>
  </si>
  <si>
    <t>2.1.6</t>
  </si>
  <si>
    <t xml:space="preserve">Impuesto sobre los Ingresos, la Riqueza y Otros a las Entidades Empresariales Públicas </t>
  </si>
  <si>
    <t>2.1.7</t>
  </si>
  <si>
    <t>2.1.8</t>
  </si>
  <si>
    <t>Provisiones y Otras Estimaciones</t>
  </si>
  <si>
    <t>2.1.8.1</t>
  </si>
  <si>
    <t>2.1.8.2</t>
  </si>
  <si>
    <t>2.1.8.3</t>
  </si>
  <si>
    <t>Estimaciones por Pérdida o Deterioro a Corto Plazo</t>
  </si>
  <si>
    <t>2.1.8.4</t>
  </si>
  <si>
    <t>Estimaciones por Pérdida o Deterioro a Largo Plazo</t>
  </si>
  <si>
    <t>2.2.2.1</t>
  </si>
  <si>
    <t>Viviendas, Edificios y Estructuras</t>
  </si>
  <si>
    <t>2.2.2.1.1</t>
  </si>
  <si>
    <t>Viviendas</t>
  </si>
  <si>
    <t>2.2.2.1.2</t>
  </si>
  <si>
    <t>Edificios No Residenciales</t>
  </si>
  <si>
    <t>2.2.2.1.3</t>
  </si>
  <si>
    <t>Otras Estructuras</t>
  </si>
  <si>
    <t>2.2.2.4</t>
  </si>
  <si>
    <t>Activos Biológicos Cultivados</t>
  </si>
  <si>
    <t>2.2.2.4.1</t>
  </si>
  <si>
    <t>Ganado para Cría, Leche, Tiro, etc., que dan Productos Recurrentes</t>
  </si>
  <si>
    <t>2.2.2.4.2</t>
  </si>
  <si>
    <t>Árboles, Cultivos y Otras Plantaciones que dan Productos Recurrentes</t>
  </si>
  <si>
    <t>2.2.2.5</t>
  </si>
  <si>
    <t>Activos Fijos Intangibles</t>
  </si>
  <si>
    <t>2.2.2.5.1</t>
  </si>
  <si>
    <t>Investigación y Desarrollo</t>
  </si>
  <si>
    <t>2.2.2.5.2</t>
  </si>
  <si>
    <t>Exploración y Evaluación Minera</t>
  </si>
  <si>
    <t>2.2.2.5.3</t>
  </si>
  <si>
    <t>Programas de Informática y Base de Datos</t>
  </si>
  <si>
    <t>2.2.2.5.4</t>
  </si>
  <si>
    <t>Originales para Esparcimiento, Literarios o Artísticos</t>
  </si>
  <si>
    <t>2.2.2.5.5</t>
  </si>
  <si>
    <t>Otros Activos Fijos Intangibles</t>
  </si>
  <si>
    <t>2.2.3</t>
  </si>
  <si>
    <t>Incremento de Existencias</t>
  </si>
  <si>
    <t>2.2.3.1</t>
  </si>
  <si>
    <t>2.2.3.2</t>
  </si>
  <si>
    <t>2.2.3.3</t>
  </si>
  <si>
    <t>2.2.3.4</t>
  </si>
  <si>
    <t>2.2.3.5</t>
  </si>
  <si>
    <t>Bienes de Venta</t>
  </si>
  <si>
    <t>2.2.3.6</t>
  </si>
  <si>
    <t>Bienes en Tránsito</t>
  </si>
  <si>
    <t>2.2.3.7</t>
  </si>
  <si>
    <t xml:space="preserve">Existencias de Materiales de Seguridad y Defensa </t>
  </si>
  <si>
    <t>2.2.4</t>
  </si>
  <si>
    <t>Objetos de Valor</t>
  </si>
  <si>
    <t>2.2.4.1</t>
  </si>
  <si>
    <t>Metales y Piedras Preciosas</t>
  </si>
  <si>
    <t>2.2.4.2</t>
  </si>
  <si>
    <t>Antigüedades y Otros Objetos de Arte</t>
  </si>
  <si>
    <t>2.2.4.3</t>
  </si>
  <si>
    <t>Otros Objetos de Valor</t>
  </si>
  <si>
    <t>2.2.5</t>
  </si>
  <si>
    <t>Activos No Producidos</t>
  </si>
  <si>
    <t>2.2.5.1</t>
  </si>
  <si>
    <t>Activos Intangibles No Producidos de Origen Natural</t>
  </si>
  <si>
    <t>2.2.5.1.1</t>
  </si>
  <si>
    <t>Tierras y Terrenos  (MEFP 7.70)</t>
  </si>
  <si>
    <t>2.2.5.1.2</t>
  </si>
  <si>
    <t>Recursos Minerales y Energéticos</t>
  </si>
  <si>
    <t>2.2.5.1.3</t>
  </si>
  <si>
    <t>Recursos Biológicos No Cultivados</t>
  </si>
  <si>
    <t>2.2.5.1.4</t>
  </si>
  <si>
    <t>Recursos Hídricos</t>
  </si>
  <si>
    <t>2.2.5.1.5</t>
  </si>
  <si>
    <t>Otros Activos de Origen Natural</t>
  </si>
  <si>
    <t>2.2.5.2</t>
  </si>
  <si>
    <t>Activos Intangibles No Producidos  (MEFP 7.78)</t>
  </si>
  <si>
    <t>2.2.5.2.1</t>
  </si>
  <si>
    <t>Derechos Patentados</t>
  </si>
  <si>
    <t>2.2.5.2.2</t>
  </si>
  <si>
    <t>Arrendamientos Operativos Comerciales</t>
  </si>
  <si>
    <t>2.2.5.2.3</t>
  </si>
  <si>
    <t>Fondos de Comercio Adquiridos</t>
  </si>
  <si>
    <t>2.2.5.2.4</t>
  </si>
  <si>
    <t>Otros Activos Intangibles No Producidos</t>
  </si>
  <si>
    <t>2.2.6</t>
  </si>
  <si>
    <t>Transferencias y Asignaciones y Donativos de Capital Otorgados</t>
  </si>
  <si>
    <t>2.2.6.1</t>
  </si>
  <si>
    <t>2.2.6.1.1</t>
  </si>
  <si>
    <t>2.2.6.1.2</t>
  </si>
  <si>
    <t>2.2.6.1.3</t>
  </si>
  <si>
    <t>2.2.6.1.4</t>
  </si>
  <si>
    <t>2.2.6.2</t>
  </si>
  <si>
    <t>2.2.6.2.1</t>
  </si>
  <si>
    <t>2.1.6.2.1.1</t>
  </si>
  <si>
    <t>2.1.6.2.1.2</t>
  </si>
  <si>
    <t>Transferencias al resto del sector público</t>
  </si>
  <si>
    <t>2.1.6.2.1.3</t>
  </si>
  <si>
    <t>Transferencias de Fideicomisos, Mandatos y Contratos análogos</t>
  </si>
  <si>
    <t>2.2.6.2.2</t>
  </si>
  <si>
    <t>2.2.6.2.3</t>
  </si>
  <si>
    <t>2.2.6.3</t>
  </si>
  <si>
    <t>2.2.6.3.1</t>
  </si>
  <si>
    <t>2.2.6.3.2</t>
  </si>
  <si>
    <t>2.2.6.3.3</t>
  </si>
  <si>
    <t>2.2.7</t>
  </si>
  <si>
    <t>Inversión Financiera con Fines de Política Económica</t>
  </si>
  <si>
    <t>2.2.7.1</t>
  </si>
  <si>
    <t>2.2.7.1.1</t>
  </si>
  <si>
    <t>Interna</t>
  </si>
  <si>
    <t>2.2.7.1.1.1</t>
  </si>
  <si>
    <t>Sector Público</t>
  </si>
  <si>
    <t>2.2.7.1.1.2</t>
  </si>
  <si>
    <t>Sector Privado</t>
  </si>
  <si>
    <t>2.2.7.1.2</t>
  </si>
  <si>
    <t>Externa</t>
  </si>
  <si>
    <t>2.2.7.2</t>
  </si>
  <si>
    <t>Valores Representativos de Deuda Adquiridos con Fines de Política Económica</t>
  </si>
  <si>
    <t>2.2.7.3</t>
  </si>
  <si>
    <t>Obligaciones Negociables Adquiridas con Fines de Política Económica</t>
  </si>
  <si>
    <t xml:space="preserve">2.2.7.4 </t>
  </si>
  <si>
    <t>2.2.7.4.1</t>
  </si>
  <si>
    <t>2.2.7.4.1.1</t>
  </si>
  <si>
    <t>2.2.7.4.1.2</t>
  </si>
  <si>
    <t>2.2.7.4.2</t>
  </si>
  <si>
    <t>3.1.1.1.2</t>
  </si>
  <si>
    <t>Disminución de Inversiones Financieras de Corto Plazo (Derechos a Recibir Efectivo o Equivalentes)</t>
  </si>
  <si>
    <t>3.1.1.1.2.1</t>
  </si>
  <si>
    <t>3.1.1.1.2.2</t>
  </si>
  <si>
    <t xml:space="preserve">Acciones y Participaciones de Capital </t>
  </si>
  <si>
    <t>3.1.1.1.2.3</t>
  </si>
  <si>
    <t>3.1.1.1.6.1</t>
  </si>
  <si>
    <t>Anticipo a Proveedores por Adquisición de Bienes y Prestación de Servicios</t>
  </si>
  <si>
    <t>3.1.1.1.6.2</t>
  </si>
  <si>
    <t>Anticipo a Proveedores por Adquisición de Bienes Inmuebles y Muebles</t>
  </si>
  <si>
    <t>3.1.1.1.6.3</t>
  </si>
  <si>
    <t>Anticipo a Proveedores por Adquisición de Bienes Intangibles</t>
  </si>
  <si>
    <t>3.1.1.1.6.4</t>
  </si>
  <si>
    <t>Anticipo a Contratistas por Obras Públicas</t>
  </si>
  <si>
    <t>3.1.1.1.6.5</t>
  </si>
  <si>
    <t>3.1.1.1.6.6</t>
  </si>
  <si>
    <t>Disminución de Otros Activos Circulantes</t>
  </si>
  <si>
    <t>3.1.1.2</t>
  </si>
  <si>
    <t>Disminución de Activos Financieros No Corrientes</t>
  </si>
  <si>
    <t>3.1.1.2.1</t>
  </si>
  <si>
    <t xml:space="preserve">Recuperación de Inversiones Financieras a Largo Plazo con Fines de Liquidez </t>
  </si>
  <si>
    <t>3.1.1.2.1.1</t>
  </si>
  <si>
    <t>Venta de Acciones y Participaciones de Capital</t>
  </si>
  <si>
    <t>3.1.1.2.1.1.1</t>
  </si>
  <si>
    <t>3.1.1.2.1.1.2</t>
  </si>
  <si>
    <t>3.1.1.2.1.2</t>
  </si>
  <si>
    <t>Venta de Títulos y Valores Representativos de la Deuda</t>
  </si>
  <si>
    <t>3.1.1.2.1.3</t>
  </si>
  <si>
    <t xml:space="preserve">Venta de Obligaciones Negociables </t>
  </si>
  <si>
    <t>3.1.1.2.1.4</t>
  </si>
  <si>
    <t>Recuperación de Préstamos</t>
  </si>
  <si>
    <t>3.1.1.2.1.4.1</t>
  </si>
  <si>
    <t>3.1.1.2.1.4.2</t>
  </si>
  <si>
    <t>3.1.1.2.2</t>
  </si>
  <si>
    <t>Disminución de Otros Activos Financieros No Corrientes</t>
  </si>
  <si>
    <t>3.1.1.2.2.1</t>
  </si>
  <si>
    <t>3.1.1.2.2.2</t>
  </si>
  <si>
    <t>3.1.1.2.2.3</t>
  </si>
  <si>
    <t>3.1.1.2.2.4</t>
  </si>
  <si>
    <t>3.1.1.2.2.5</t>
  </si>
  <si>
    <t>3.1.2.1.2</t>
  </si>
  <si>
    <t>Incremento de Documentos por Pagar</t>
  </si>
  <si>
    <t>3.1.2.1.2.1</t>
  </si>
  <si>
    <t>Documentos Comerciales por Pagar</t>
  </si>
  <si>
    <t>3.1.2.1.2.2</t>
  </si>
  <si>
    <t>Documentos con Contratistas por Obras Públicas por Pagar</t>
  </si>
  <si>
    <t>3.1.2.1.2.3</t>
  </si>
  <si>
    <t>Otros Documentos por Pagar</t>
  </si>
  <si>
    <t>3.1.2.1.2.4</t>
  </si>
  <si>
    <t>Títulos y Valores de la Deuda Pública Interna</t>
  </si>
  <si>
    <t>3.1.2.1.2.5</t>
  </si>
  <si>
    <t>Títulos y Valores de la Deuda Pública Externa</t>
  </si>
  <si>
    <t>3.1.2.1.3</t>
  </si>
  <si>
    <t>Conversión de Deuda Pública a Largo Plazo en Porción Circulante</t>
  </si>
  <si>
    <t>3.1.2.1.3.1</t>
  </si>
  <si>
    <t>Conversión de Títulos y Valores de Largo Plazo en Corto Plazo</t>
  </si>
  <si>
    <t>3.1.2.1.3.1.1</t>
  </si>
  <si>
    <t>Porción de Corto Plazo de Títulos y Valores de la Deuda Pública Interna de L.P.</t>
  </si>
  <si>
    <t>3.1.2.1.3.1.2</t>
  </si>
  <si>
    <t>Porción de Corto Plazo de Títulos y Valores de la Deuda Pública Externa de L.P.</t>
  </si>
  <si>
    <t>3.1.2.1.3.2</t>
  </si>
  <si>
    <t>Conversión de Préstamos de Largo Plazo en Corto Plazo</t>
  </si>
  <si>
    <t>3.1.2.1.3.2.1</t>
  </si>
  <si>
    <t>Porción a Corto Plazo de Préstamos de la Deuda Pública Interna de L.P.</t>
  </si>
  <si>
    <t>3.1.2.1.3.2.2</t>
  </si>
  <si>
    <t>Porción a Corto Plazo de Préstamos de la Deuda Pública Externa de L.P.</t>
  </si>
  <si>
    <t>3.1.2.1.4</t>
  </si>
  <si>
    <t>Incremento de Otros Pasivos de Corto Plazo</t>
  </si>
  <si>
    <t>3.1.2.1.4.1</t>
  </si>
  <si>
    <t>Pasivos Diferidos</t>
  </si>
  <si>
    <t>PC 2.1.5</t>
  </si>
  <si>
    <t xml:space="preserve">3.1.2.1.4.2 </t>
  </si>
  <si>
    <t>Fondos y Bienes de Terceros</t>
  </si>
  <si>
    <t>PC 2.1.6</t>
  </si>
  <si>
    <t>3.1.2.1.4.3</t>
  </si>
  <si>
    <t>PC 2.1.9</t>
  </si>
  <si>
    <t>3.1.2.2.1</t>
  </si>
  <si>
    <t xml:space="preserve">Incremento de Cuentas por Pagar a Largo Plazo </t>
  </si>
  <si>
    <t>3.1.2.2.1.1</t>
  </si>
  <si>
    <t xml:space="preserve">Proveedores por Pagar </t>
  </si>
  <si>
    <t>3.1.2.2.1.2</t>
  </si>
  <si>
    <t>3.1.2.2.2</t>
  </si>
  <si>
    <t>Incremento de Documentos por Pagar a Largo Plazo</t>
  </si>
  <si>
    <t>3.1.2.2.2.1</t>
  </si>
  <si>
    <t>3.1.2.2.2.2</t>
  </si>
  <si>
    <t>3.1.2.2.2.3</t>
  </si>
  <si>
    <t>Otros documentos por Pagar</t>
  </si>
  <si>
    <t>3.1.2.2.3</t>
  </si>
  <si>
    <t>Colocación de Títulos y Valores a Largo Plazo</t>
  </si>
  <si>
    <t>3.1.2.2.3.1</t>
  </si>
  <si>
    <t>Colocación de Títulos y Valores de la Deuda Pública Interna</t>
  </si>
  <si>
    <t>3.1.2.2.3.2</t>
  </si>
  <si>
    <t>Colocación de Títulos y Valores de la Deuda Pública Externa</t>
  </si>
  <si>
    <t>3.1.2.2.4</t>
  </si>
  <si>
    <t>Obtención de Préstamos de la Deuda Pública a Largo Plazo</t>
  </si>
  <si>
    <t>3.1.2.2.4.1</t>
  </si>
  <si>
    <t>Obtención de Préstamos Internos</t>
  </si>
  <si>
    <t>3.1.2.2.4.2</t>
  </si>
  <si>
    <t>Obtención de Préstamos Externos</t>
  </si>
  <si>
    <t>3.1.2.2.5</t>
  </si>
  <si>
    <t>Incremento de Otros Pasivos a Largo Plazo</t>
  </si>
  <si>
    <t>3.1.2.2.5.1</t>
  </si>
  <si>
    <t>3.1.2.2.5.2</t>
  </si>
  <si>
    <t>3.1.2.2.5.3</t>
  </si>
  <si>
    <t>3.2.1.1.2</t>
  </si>
  <si>
    <t>Incremento de Inversiones Financieras de Corto Plazo (Derechos a recibir Efectivo o Equivalentes)</t>
  </si>
  <si>
    <t>3.2.1.1.2.1</t>
  </si>
  <si>
    <t>3.2.1.1.2.2</t>
  </si>
  <si>
    <t>3.2.1.1.2.3</t>
  </si>
  <si>
    <t>3.2.1.1.6</t>
  </si>
  <si>
    <t>Incremento de Otros Activos Financieros Corrientes</t>
  </si>
  <si>
    <t>3.2.1.1.6.1</t>
  </si>
  <si>
    <t>3.2.1.1.6.2</t>
  </si>
  <si>
    <t>3.2.1.1.6.3</t>
  </si>
  <si>
    <t>3.2.1.1.6.4</t>
  </si>
  <si>
    <t>3.2.1.1.6.5</t>
  </si>
  <si>
    <t>Otros Derechos a Recibir Bienes y Servicios</t>
  </si>
  <si>
    <t>3.2.1.1.6.6</t>
  </si>
  <si>
    <t>3.2.1.2</t>
  </si>
  <si>
    <t>Incremento de Activos Financieros No Corrientes</t>
  </si>
  <si>
    <t>3.2.1.2.1</t>
  </si>
  <si>
    <t>Inversiones Financieras a Largo Plazo con Fines de Liquidez</t>
  </si>
  <si>
    <t>3.2.1.2.1.1</t>
  </si>
  <si>
    <t>Compra de Acciones y Participaciones de Capital</t>
  </si>
  <si>
    <t>3.2.1.2.1.1.1</t>
  </si>
  <si>
    <t>3.2.1.2.1.1.2</t>
  </si>
  <si>
    <t>3.2.1.2.1.2</t>
  </si>
  <si>
    <t>Compra de Títulos y Valores Representativos de la Deuda</t>
  </si>
  <si>
    <t>3.2.1.2.1.3</t>
  </si>
  <si>
    <t>Compra de Obligaciones negociables</t>
  </si>
  <si>
    <t>3.2.1.2.1.4</t>
  </si>
  <si>
    <t xml:space="preserve">3.2.1.2.1.4.1 </t>
  </si>
  <si>
    <t xml:space="preserve">3.2.1.2.1.4.2 </t>
  </si>
  <si>
    <t>3.2.1.2.2</t>
  </si>
  <si>
    <t>Incremento de Otros Activos Financieros No Corrientes</t>
  </si>
  <si>
    <t>3.2.2.1.2</t>
  </si>
  <si>
    <t>Disminución de Documentos por Pagar</t>
  </si>
  <si>
    <t>3.2.2.1.2.1</t>
  </si>
  <si>
    <t>3.2.2.1.2.2</t>
  </si>
  <si>
    <t>3.2.2.1.2.3</t>
  </si>
  <si>
    <t>3.2.2.1.2.4</t>
  </si>
  <si>
    <t>3.2.2.1.2.5</t>
  </si>
  <si>
    <t>3.2.2.1.3</t>
  </si>
  <si>
    <t>Amortización de la Porción Circulante de la Deuda Pública de Largo Plazo</t>
  </si>
  <si>
    <t>3.2.2.1.3.1</t>
  </si>
  <si>
    <t>Amortización de la Porción Circulante de la Deuda Pública de L.P. en Títulos y Valores</t>
  </si>
  <si>
    <t>3.2.2.1.3.1.1</t>
  </si>
  <si>
    <t>Amortización de la Porción Circulante de la Deuda Pública Interna de L.P. en Títulos y Valores</t>
  </si>
  <si>
    <t>3.2.2.1.3.1.2</t>
  </si>
  <si>
    <t>Amortización de la Porción de la Deuda Pública Externa de L.P. En Títulos y Valores</t>
  </si>
  <si>
    <t>3.2.2.1.3.2</t>
  </si>
  <si>
    <t xml:space="preserve">Amortización de la Porción Circulante de la Deuda Pública de L.P. en Préstamos </t>
  </si>
  <si>
    <t>3.2.2.1.3.2.1</t>
  </si>
  <si>
    <t xml:space="preserve">Amortización de la Porción Circulante de la Deuda Pública Interna de L.P en Préstamos </t>
  </si>
  <si>
    <t>3.2.2.1.3.2.2</t>
  </si>
  <si>
    <t xml:space="preserve">Amortización de la Porción Circulante de la Deuda Pública Externa de L.P. en Préstamos </t>
  </si>
  <si>
    <t>3.2.2.1.4</t>
  </si>
  <si>
    <t xml:space="preserve">Disminución de Otros Pasivos de Corto Plazo </t>
  </si>
  <si>
    <t>3.2.2.1.4.1</t>
  </si>
  <si>
    <t>3.2.2.1.4.2</t>
  </si>
  <si>
    <t>Fondos y Bienes de Terceros en Garantía y/o Administración</t>
  </si>
  <si>
    <t>3.2.2.1.4.3</t>
  </si>
  <si>
    <t>3.2.2.2</t>
  </si>
  <si>
    <t>Disminución de Pasivos No Corrientes</t>
  </si>
  <si>
    <t xml:space="preserve">3.2.2.2.1 </t>
  </si>
  <si>
    <t>Disminución de Cuentas por Pagar a Largo Plazo</t>
  </si>
  <si>
    <t>3.2.2.2.1.1</t>
  </si>
  <si>
    <t>3.2.2.2.1.2</t>
  </si>
  <si>
    <t>3.2.2.2.2</t>
  </si>
  <si>
    <t>Disminución de Documentos por Pagar a  Largo Plazo</t>
  </si>
  <si>
    <t>3.2.2.2.2.1</t>
  </si>
  <si>
    <t>3.2.2.2.2.2</t>
  </si>
  <si>
    <t>3.2.2.2.2.3</t>
  </si>
  <si>
    <t>3.2.2.2.3</t>
  </si>
  <si>
    <t>Conversión de Deuda Pública de Largo Plazo en Porción Circulante</t>
  </si>
  <si>
    <t>3.2.2.2.3.1</t>
  </si>
  <si>
    <t xml:space="preserve">Conversión de Títulos y Valores de Largo Plazo en Corto Plazo </t>
  </si>
  <si>
    <t>3.2.2.2.3.1.1</t>
  </si>
  <si>
    <t>Porción de Corto Plazo de Títulos y Valores de la Deuda Pública Interna</t>
  </si>
  <si>
    <t>3.2.2.2.3.1.2</t>
  </si>
  <si>
    <t>Porción de Corto Plazo de Títulos y Valores de la Deuda Pública Externa</t>
  </si>
  <si>
    <t>3.2.2.2.3.2</t>
  </si>
  <si>
    <t>3.2.2.2.3.2.1</t>
  </si>
  <si>
    <t xml:space="preserve">Porción a Corto Plazo de Préstamos de la Deuda Pública Interna </t>
  </si>
  <si>
    <t>3.2.2.2.3.2.2</t>
  </si>
  <si>
    <t xml:space="preserve">Porción a Corto Plazo de Préstamos de la Deuda Pública Externa </t>
  </si>
  <si>
    <t>3.2.2.2.4</t>
  </si>
  <si>
    <t xml:space="preserve">Disminución de Otros Pasivos de Largo Plazo </t>
  </si>
  <si>
    <t>3.2.2.2.4.1</t>
  </si>
  <si>
    <t>3.2.2.2.4.2</t>
  </si>
  <si>
    <t>3.2.2.2.4.3</t>
  </si>
  <si>
    <t>13203</t>
  </si>
  <si>
    <t>13204</t>
  </si>
  <si>
    <t>15423</t>
  </si>
  <si>
    <t xml:space="preserve">  SUELDOS</t>
  </si>
  <si>
    <t xml:space="preserve">  REMUNERACIONES POR SUSTITUCION DE PERSONAL</t>
  </si>
  <si>
    <t xml:space="preserve">  RIESGO LABORAL</t>
  </si>
  <si>
    <t xml:space="preserve">  AYUDA PARA CUOTA DE SEGURIDAD SOCIAL</t>
  </si>
  <si>
    <t xml:space="preserve">  PRIMAS DE VACACIONES Y DOMINICAL</t>
  </si>
  <si>
    <t xml:space="preserve">  AGUINALDO O GRATIFICACION DE FIN DE AÑO</t>
  </si>
  <si>
    <t xml:space="preserve">  COMPENSACION POR AJUSTE DE CALENDARIO</t>
  </si>
  <si>
    <t xml:space="preserve">  COMPENSACION POR BONO NAVIDEÑO</t>
  </si>
  <si>
    <t xml:space="preserve">  APORTACION POR SEGURO DE VIDA AL ISSSTESON</t>
  </si>
  <si>
    <t xml:space="preserve">  APORTACION POR SEGURO DE RETIRO AL ISSSTESON</t>
  </si>
  <si>
    <t xml:space="preserve">  ASIGNACION PARA PRESTAMOS A CORTO PLAZO</t>
  </si>
  <si>
    <t xml:space="preserve">  OTRAS PRESTACIONES DE SEGURIDAD SOCIAL</t>
  </si>
  <si>
    <t xml:space="preserve">  APORTACION PARA INFRAESTRUCTURA, EQUIPAMIENTO Y MANTENIMIENTO HOSPITALARIO</t>
  </si>
  <si>
    <t xml:space="preserve">  APORTACIONES PARA LA ATENCIÓN DE ENFERMEDADES PREEXISTENTES</t>
  </si>
  <si>
    <t xml:space="preserve">  APORTACIONES POR SERVICIO MEDICO DEL ISSSTESON</t>
  </si>
  <si>
    <t xml:space="preserve">  ASIGNACION PARA PRESTAMOS PRENDARIOS</t>
  </si>
  <si>
    <t xml:space="preserve">  PAGAS POR DEFUNCION, PENSIONES Y JUBILACIONES</t>
  </si>
  <si>
    <t xml:space="preserve">  SEGURO POR RETIRO ESTATAL</t>
  </si>
  <si>
    <t xml:space="preserve">  SEGUROS POR DEFUNCION FAMILIAR</t>
  </si>
  <si>
    <t xml:space="preserve">  APORTACIONES AL FONDO DE AHORRO DE LOS TRABAJADORES</t>
  </si>
  <si>
    <t xml:space="preserve">  PRESTACIONES ESTABLECIDAS POR CONDICIONES GENERALES</t>
  </si>
  <si>
    <t xml:space="preserve">  DIAS ECONOMICOS Y DE DESCANSO OBLIGATORIOS NO DISFRUTADOS </t>
  </si>
  <si>
    <t xml:space="preserve">  BONO PARA DESPENSA</t>
  </si>
  <si>
    <t xml:space="preserve">  APOYO PARA UTILES ESCOLARES</t>
  </si>
  <si>
    <t xml:space="preserve">  APOYO PARA DESARROLLO Y CAPACITACION</t>
  </si>
  <si>
    <t xml:space="preserve">  AYUDA PARA SERVICIO DE TRANSPORTE</t>
  </si>
  <si>
    <t xml:space="preserve">  COMPENSACION EN APOYO A LA DISCAPACIDAD</t>
  </si>
  <si>
    <t xml:space="preserve">  BONO DE DIA DE MADRES</t>
  </si>
  <si>
    <t xml:space="preserve">  BONO POR ANIVERSARIO SINDICAL</t>
  </si>
  <si>
    <t xml:space="preserve">  BONO DEL DÍA DEL PADRE</t>
  </si>
  <si>
    <t xml:space="preserve">  APOYO PARA COMPRA DE MATERIAL DE CONSTRUCCION</t>
  </si>
  <si>
    <t xml:space="preserve">  APOYO PARA DESPENSA PARA LOS REPRESENTANTES SINDICALES</t>
  </si>
  <si>
    <t xml:space="preserve">  BONO DE PRODUCTIVIDAD AL PERSONAL DE BASE</t>
  </si>
  <si>
    <t xml:space="preserve">  OTRAS PRESTACIONES</t>
  </si>
  <si>
    <t xml:space="preserve">  PREVISION PARA INCREMENTO DE SUELDOS</t>
  </si>
  <si>
    <t xml:space="preserve">  ESTIMULOS POR PRODUCTIVIDAD Y EFICIENCIA</t>
  </si>
  <si>
    <t xml:space="preserve">  BONO POR PUNTUALIDAD</t>
  </si>
  <si>
    <t xml:space="preserve">  COMPENSACION POR TITULACION A NIVEL LICENCIATURA</t>
  </si>
  <si>
    <t xml:space="preserve">  MATERIALES, UTILES Y EQUIPOS MENORES DE OFICINA</t>
  </si>
  <si>
    <t xml:space="preserve">  MATERIALES Y UTILES PARA EL PROCESAMIENTO DE EQUIPOS Y BIENES INFORMATICOS</t>
  </si>
  <si>
    <t xml:space="preserve">  MATERIAL PARA INFORMACION</t>
  </si>
  <si>
    <t xml:space="preserve">  MATERIAL DE LIMPIEZA</t>
  </si>
  <si>
    <t xml:space="preserve">  PRODUCTOS ALIMENTICIOS PARA EL PERSONAL EN LAS INSTALACIONES</t>
  </si>
  <si>
    <t xml:space="preserve">  ADQUISICION DE AGUA POTABLE</t>
  </si>
  <si>
    <t xml:space="preserve">  MATERIAL ELECTRICO Y ELECTRONICO</t>
  </si>
  <si>
    <t xml:space="preserve">  COMBUSTIBLES</t>
  </si>
  <si>
    <t xml:space="preserve">  REFACCIONES Y ACCESORIOS MENORES DE EQUIPO DE TRANSPORTE</t>
  </si>
  <si>
    <t xml:space="preserve">  ENERGIA ELECTRICA</t>
  </si>
  <si>
    <t xml:space="preserve">  AGUA POTABLE</t>
  </si>
  <si>
    <t xml:space="preserve">  TELEFONIA TRADICIONAL</t>
  </si>
  <si>
    <t xml:space="preserve">  TELEFONIA CELULAR</t>
  </si>
  <si>
    <t xml:space="preserve">  SERVICIO DE ACCESO A INTERNET, REDES Y PROCESAMIENTO DE INFORMACION</t>
  </si>
  <si>
    <t xml:space="preserve">  SERVICIO POSTAL</t>
  </si>
  <si>
    <t xml:space="preserve">  ARRENDAMIENTO DE TERRENOS</t>
  </si>
  <si>
    <t xml:space="preserve">  ARRENDAMIENTO DE MUEBLES, MAQUINARIA Y EQUIPO</t>
  </si>
  <si>
    <t xml:space="preserve">  SERVICIOS LEGALES, DE CONTABILIDAD, AUDITORIAS Y RELACIONADOS</t>
  </si>
  <si>
    <t xml:space="preserve">  SERVICIOS DE CAPACITACION</t>
  </si>
  <si>
    <t xml:space="preserve">  SERVICIOS PROFESIONALES, CIENTIFICOS Y TECNICOS INTEGRALES</t>
  </si>
  <si>
    <t xml:space="preserve">  SERVICIOS FINANCIEROS Y BANCARIOS</t>
  </si>
  <si>
    <t xml:space="preserve">  SEGUROS DE BIENES PATRIMONIALES</t>
  </si>
  <si>
    <t xml:space="preserve">  MANTENIMIENTO Y CONSERVACION DE INMUEBLES</t>
  </si>
  <si>
    <t xml:space="preserve">  MANTENIMIENTO Y CONSERVACION DE EQUIPO DE TRANSPORTE</t>
  </si>
  <si>
    <t xml:space="preserve">  MANTENIMIENTO Y CONSERVACION DE MAQUINARIA Y EQUIPO</t>
  </si>
  <si>
    <t xml:space="preserve">  SERVICIOS DE LIMPIEZA Y MANEJO DE DESECHOS</t>
  </si>
  <si>
    <t xml:space="preserve">  SERVICIOS DE JARDINERIA Y FUMIGACION</t>
  </si>
  <si>
    <t xml:space="preserve">  VIATICOS EN EL PAIS</t>
  </si>
  <si>
    <t xml:space="preserve">  GASTOS DE CAMINO</t>
  </si>
  <si>
    <t xml:space="preserve">  CUOTAS</t>
  </si>
  <si>
    <t xml:space="preserve">  IMPUESTOS Y DERECHOS</t>
  </si>
  <si>
    <t xml:space="preserve">  PENAS, MULTAS, ACCESORIOS Y ACTUALIZACIONES</t>
  </si>
  <si>
    <t xml:space="preserve">  IMPUESTOS SOBRE NOMINAS</t>
  </si>
  <si>
    <t>15404</t>
  </si>
  <si>
    <t>15421</t>
  </si>
  <si>
    <t>15427</t>
  </si>
  <si>
    <t>32301</t>
  </si>
  <si>
    <t>39501</t>
  </si>
  <si>
    <r>
      <t>X</t>
    </r>
    <r>
      <rPr>
        <vertAlign val="superscript"/>
        <sz val="10"/>
        <rFont val="Symbol"/>
        <family val="1"/>
        <charset val="2"/>
      </rPr>
      <t>*</t>
    </r>
    <r>
      <rPr>
        <sz val="10"/>
        <rFont val="Verdana"/>
        <family val="2"/>
      </rPr>
      <t xml:space="preserve"> </t>
    </r>
    <r>
      <rPr>
        <sz val="7"/>
        <rFont val="Arial"/>
        <family val="2"/>
      </rPr>
      <t>Refiere a la desagregación que obtuvieron las unidades administrativas o instancias competentes en materia de Contabilidad Gubernamental y de Ingresos, de cada orden de gobierno, del Clasificador por Rubros de Ingresos, armonizado a 2 dígitos, de acuerdo a sus necesidades en tercer y cuarto dígito, Clase y Concepto respectivamente.</t>
    </r>
  </si>
  <si>
    <r>
      <t>X</t>
    </r>
    <r>
      <rPr>
        <vertAlign val="superscript"/>
        <sz val="9"/>
        <rFont val="Arial"/>
        <family val="2"/>
      </rPr>
      <t>†</t>
    </r>
    <r>
      <rPr>
        <sz val="12"/>
        <rFont val="Times New Roman"/>
        <family val="1"/>
      </rPr>
      <t xml:space="preserve"> </t>
    </r>
    <r>
      <rPr>
        <sz val="7"/>
        <rFont val="Arial"/>
        <family val="2"/>
      </rPr>
      <t>Refiere a la desagregación que obtuvieron las unidades administrativas o instancias competentes en materia de Contabilidad Gubernamental y de Ingresos, de cada orden de gobierno, del Clasificador por Rubros de Ingresos, armonizado a 2 dígitos, de acuerdo a sus necesidades en tercer y cuarto dígito, Clase y Concepto respectivamente.</t>
    </r>
  </si>
  <si>
    <t xml:space="preserve">  PASAJES AEREOS</t>
  </si>
  <si>
    <t>37101</t>
  </si>
  <si>
    <t>2.4 MOBILIARIO Y EQUIPO EDUCACIONAL Y RECREATIVO</t>
  </si>
  <si>
    <t>3.1 ESTIMACIONES, DEPRECIACIONES, DETERIOROS, OBSOLESCENCIA Y AMORTIZACIONES</t>
  </si>
  <si>
    <t xml:space="preserve">  FLETES Y MANIOBRAS</t>
  </si>
  <si>
    <t>34701</t>
  </si>
  <si>
    <t>35201</t>
  </si>
  <si>
    <t xml:space="preserve">  MANTENIMIENTO Y CONSERVACION DE MOBILIARIO Y EQUIPO</t>
  </si>
  <si>
    <t>Esto corresponde al inmueble que ocupan las oficinas generales de Radio Sonora, propiedad del Gobierno del Estado de Sonora, cuyo valor corresponde al valor catastral y 1 vehículo oficial.</t>
  </si>
  <si>
    <t>27101</t>
  </si>
  <si>
    <t xml:space="preserve">  VESTUARIOS Y UNIFORMES</t>
  </si>
  <si>
    <t>03</t>
  </si>
  <si>
    <t xml:space="preserve">  CONGRESOS Y CONVENCIONES</t>
  </si>
  <si>
    <t>38301</t>
  </si>
  <si>
    <t>50000</t>
  </si>
  <si>
    <t>BIENES MUEBLES, INMUEBLES E INTAGIBLES</t>
  </si>
  <si>
    <t xml:space="preserve">  MUEBLES DE OFICINA Y ESTANTERIA</t>
  </si>
  <si>
    <t>51101</t>
  </si>
  <si>
    <t xml:space="preserve">  EQUIPO DE COMPUTO Y DE TECNOLOGIAS DE LA INFORMACION</t>
  </si>
  <si>
    <t>51501</t>
  </si>
  <si>
    <t xml:space="preserve">  EQUIPO DE COMUNICACIÓN Y TELECOMUNICACION</t>
  </si>
  <si>
    <t>56501</t>
  </si>
  <si>
    <t>Los bienes muebles e inmuebles y derechos que se le destinen por los gobiernos federal, estatal y municipales hasta el 31 de Diciembre de 2022;</t>
  </si>
  <si>
    <t>29401</t>
  </si>
  <si>
    <t xml:space="preserve">  REFACCIONES Y ACCESORIOS MENORES DE EQUIPO DE COMPUTO Y TECNOLOGIAS DE LA INFORMACION</t>
  </si>
  <si>
    <t xml:space="preserve">  PRODUCTOS MINERALES NO METALICOS</t>
  </si>
  <si>
    <t>24101</t>
  </si>
  <si>
    <t xml:space="preserve">  CAL, YESO Y PRODUCTOS DE YESO</t>
  </si>
  <si>
    <t>24301</t>
  </si>
  <si>
    <t>14404</t>
  </si>
  <si>
    <t>35301</t>
  </si>
  <si>
    <t>29201</t>
  </si>
  <si>
    <t>29101</t>
  </si>
  <si>
    <t xml:space="preserve">  PRIMAS Y ACREDITACIONES POR AÑOS DE SERVICIOS EFECTIVOS PRESTADOS</t>
  </si>
  <si>
    <t xml:space="preserve">  APORTACIONES AL FOVISSSTESON</t>
  </si>
  <si>
    <t xml:space="preserve">  OTROS SEGUROS DE CARÁCTER LABORAL O ECONOMICOS</t>
  </si>
  <si>
    <t xml:space="preserve">  HERRAMIENTAS MENORES</t>
  </si>
  <si>
    <t xml:space="preserve">  REFACCIONES Y ACCESORIOS MENORES DE EDIFICIOS</t>
  </si>
  <si>
    <t xml:space="preserve">  INSTALACIONES</t>
  </si>
  <si>
    <t>a) NOTAS DE DESGLOCE</t>
  </si>
  <si>
    <t>287</t>
  </si>
  <si>
    <t>El saldo de Cuentas por cobrar a corto plazo se integra por aquellas instituciones que solicitaron los servicios radiofónicos de la entidad como sigue:  mas de 365 días $ 682.17</t>
  </si>
  <si>
    <t>32501</t>
  </si>
  <si>
    <t xml:space="preserve">  ARRENDAMIENTO DE EQUIPO DE TRANSPORTE TERRESTRE</t>
  </si>
  <si>
    <t>31 de diciembre de 2023</t>
  </si>
  <si>
    <t>al 31 de diciembre de 2023(d)</t>
  </si>
  <si>
    <t>15202</t>
  </si>
  <si>
    <t xml:space="preserve">  PAGO DE LIQUIDACIONES</t>
  </si>
  <si>
    <t>37601</t>
  </si>
  <si>
    <t xml:space="preserve">  VIATICOS EN EL EXTRANJERO</t>
  </si>
  <si>
    <t>37801</t>
  </si>
  <si>
    <t xml:space="preserve">  SERVICIOS INTEGRALES DE TRASLADO Y VIATICOS</t>
  </si>
  <si>
    <t>723</t>
  </si>
  <si>
    <t>E101F02</t>
  </si>
  <si>
    <t>Hacienda Pública / Patrimonio Contribuido Neto de 2023</t>
  </si>
  <si>
    <t>Hacienda Pública / Patrimonio Generado Neto de 2023</t>
  </si>
  <si>
    <t>Exceso o Insuficiencia en la Actualización de la Hacienda Pública / Patrimonio Neto de 2023</t>
  </si>
  <si>
    <t>Hacienda Pública / Patrimonio Neto Final de 2024</t>
  </si>
  <si>
    <t>Cambios en la Hacienda Pública / Patrimonio Contribuido Neto de 2024</t>
  </si>
  <si>
    <t>Variaciones de la Hacienda Pública / Patrimonio Generado Neto de 2024</t>
  </si>
  <si>
    <t>Cambios en el Exceso o Insuficiencia en la Actualización de la Hacienda Pública / Patrimonio Neto de 2024</t>
  </si>
  <si>
    <t>24901</t>
  </si>
  <si>
    <t xml:space="preserve">  OTROS MATERIALES Y ARTICULOS DE CONSTRUCCION Y REPARACION</t>
  </si>
  <si>
    <t>32502</t>
  </si>
  <si>
    <t xml:space="preserve">  ARRENDAMIENTO DE VEHICULOS  AEREOS, MARITIMOS, LACUSTRES Y FLUVIALES </t>
  </si>
  <si>
    <t>32901</t>
  </si>
  <si>
    <t xml:space="preserve">  OTROS ARRENDAMIENTOS</t>
  </si>
  <si>
    <t>56401</t>
  </si>
  <si>
    <t xml:space="preserve">  SISTEMAS DE AIRE ACONDICIONADO, CALEFACCION Y DE REFRIGERACION INDUSTRIAL Y COMERCIAL</t>
  </si>
  <si>
    <t>10000</t>
  </si>
  <si>
    <t>Las condiciones económico financieras con las que operó Radio Sonora al mes de Septiembre de 2024  han sido favorables dado que los recursos provenientes de ingresos propios se han recaudado de acuerdo al calendario previsto.</t>
  </si>
  <si>
    <t>Al 30 de Septiembre de 2024 se revasó la meta estimada para 2024, toda vez que los ingresos provenientes de convenio de han fortalecido.</t>
  </si>
  <si>
    <t>AL 31 DE DICIEMBRE DE 2024</t>
  </si>
  <si>
    <t>Del 01 de ENERO al 31 de DICIEMBRE de 2024</t>
  </si>
  <si>
    <t>AL 31 DE DICIEMBRE 2024</t>
  </si>
  <si>
    <t>Monto pagado de la inversión al 31 de DICIEMBRE de 2024 (k)</t>
  </si>
  <si>
    <t>Monto pagado de la inversión actualizado al 31 de DICIEMBRE de 2024 (l)</t>
  </si>
  <si>
    <t>Saldo pendiente por pagar de la inversión al 31 de DICIEMBRE de 2024 (m = g – l)</t>
  </si>
  <si>
    <t>Al 31 de Diciembre de 2024 el efectivo y equivalentes de Efectivo se integran de la siguiente forma:</t>
  </si>
  <si>
    <t>Al 31 de Diciembre de 2024, estas cuentas se integran de la siguiente forma:</t>
  </si>
  <si>
    <t>Esta cuenta se integra como sigue al 31 de Diciembre 2024</t>
  </si>
  <si>
    <t>El rubro de Proveedores por Pagar a Corto Plazo se integra por pasivos de bienes y servicios no pagados al 31 de Diciembre de 2024</t>
  </si>
  <si>
    <t>01/01/2024 al 31/12/2024</t>
  </si>
  <si>
    <t>24801</t>
  </si>
  <si>
    <t xml:space="preserve">  MATERIALES COMPLEMENTARIOS</t>
  </si>
  <si>
    <t>35302</t>
  </si>
  <si>
    <t xml:space="preserve">  MANTENIMIENTO Y CONSERVACION DE BIENES INFORMATICOS</t>
  </si>
  <si>
    <t>Al 30 de SEPTIEMBRE de 2024 y al 31 de DICIEMBRE de 2023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</si>
</sst>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7" formatCode="&quot;$&quot;#,##0.00;\-&quot;$&quot;#,##0.00"/>
    <numFmt numFmtId="8" formatCode="&quot;$&quot;#,##0.00;[Red]\-&quot;$&quot;#,##0.00"/>
    <numFmt numFmtId="41" formatCode="_-* #,##0_-;\-* #,##0_-;_-* &quot;-&quot;_-;_-@_-"/>
    <numFmt numFmtId="44" formatCode="_-&quot;$&quot;* #,##0.00_-;\-&quot;$&quot;* #,##0.00_-;_-&quot;$&quot;* &quot;-&quot;??_-;_-@_-"/>
    <numFmt numFmtId="43" formatCode="_-* #,##0.00_-;\-* #,##0.00_-;_-* &quot;-&quot;??_-;_-@_-"/>
    <numFmt numFmtId="164" formatCode="_-&quot;€&quot;* #,##0.00_-;\-&quot;€&quot;* #,##0.00_-;_-&quot;€&quot;* &quot;-&quot;??_-;_-@_-"/>
    <numFmt numFmtId="165" formatCode="#,##0.00_ ;\-#,##0.00\ "/>
    <numFmt numFmtId="166" formatCode="&quot;$&quot;\ #,###,###.00"/>
    <numFmt numFmtId="167" formatCode="&quot;$&quot;#,##0.00"/>
    <numFmt numFmtId="168" formatCode="#,##0.00_ ;[Red]\-#,##0.00\ "/>
  </numFmts>
  <fonts count="128" x14ac:knownFonts="1">
    <font>
      <sz val="11"/>
      <color theme="1"/>
      <name val="Calibri"/>
      <family val="2"/>
      <scheme val="minor"/>
    </font>
    <font>
      <sz val="10"/>
      <color theme="1"/>
      <name val="Arial Narrow"/>
      <family val="2"/>
    </font>
    <font>
      <sz val="10"/>
      <color rgb="FF000000"/>
      <name val="Arial Narrow"/>
      <family val="2"/>
    </font>
    <font>
      <b/>
      <sz val="10"/>
      <color theme="1"/>
      <name val="Arial Narrow"/>
      <family val="2"/>
    </font>
    <font>
      <sz val="10"/>
      <name val="Arial"/>
      <family val="2"/>
    </font>
    <font>
      <sz val="11"/>
      <color theme="1"/>
      <name val="Arial Narrow"/>
      <family val="2"/>
    </font>
    <font>
      <b/>
      <sz val="11"/>
      <color theme="1"/>
      <name val="Arial Narrow"/>
      <family val="2"/>
    </font>
    <font>
      <b/>
      <i/>
      <sz val="11"/>
      <color theme="1"/>
      <name val="Arial Narrow"/>
      <family val="2"/>
    </font>
    <font>
      <sz val="11"/>
      <color theme="1"/>
      <name val="Calibri"/>
      <family val="2"/>
      <scheme val="minor"/>
    </font>
    <font>
      <sz val="10"/>
      <name val="MS Sans Serif"/>
      <family val="2"/>
    </font>
    <font>
      <b/>
      <sz val="12"/>
      <color theme="1"/>
      <name val="Arial Narrow"/>
      <family val="2"/>
    </font>
    <font>
      <b/>
      <sz val="9"/>
      <color theme="1"/>
      <name val="Arial Narrow"/>
      <family val="2"/>
    </font>
    <font>
      <sz val="8"/>
      <color theme="1"/>
      <name val="Arial Narrow"/>
      <family val="2"/>
    </font>
    <font>
      <sz val="11"/>
      <color indexed="8"/>
      <name val="Calibri"/>
      <family val="2"/>
    </font>
    <font>
      <b/>
      <u/>
      <sz val="10"/>
      <color theme="1"/>
      <name val="Arial Narrow"/>
      <family val="2"/>
    </font>
    <font>
      <b/>
      <i/>
      <sz val="10"/>
      <color theme="1"/>
      <name val="Arial Narrow"/>
      <family val="2"/>
    </font>
    <font>
      <sz val="11"/>
      <color rgb="FF000000"/>
      <name val="Arial Narrow"/>
      <family val="2"/>
    </font>
    <font>
      <i/>
      <sz val="10"/>
      <color theme="1"/>
      <name val="Arial Narrow"/>
      <family val="2"/>
    </font>
    <font>
      <i/>
      <sz val="11"/>
      <color theme="1"/>
      <name val="Arial Narrow"/>
      <family val="2"/>
    </font>
    <font>
      <b/>
      <sz val="10"/>
      <color rgb="FF000000"/>
      <name val="Arial Narrow"/>
      <family val="2"/>
    </font>
    <font>
      <sz val="12"/>
      <color theme="1"/>
      <name val="Arial Narrow"/>
      <family val="2"/>
    </font>
    <font>
      <b/>
      <sz val="11"/>
      <color rgb="FF000000"/>
      <name val="Arial Narrow"/>
      <family val="2"/>
    </font>
    <font>
      <sz val="9"/>
      <color theme="1"/>
      <name val="Arial Narrow"/>
      <family val="2"/>
    </font>
    <font>
      <sz val="6"/>
      <color theme="1"/>
      <name val="Arial Narrow"/>
      <family val="2"/>
    </font>
    <font>
      <b/>
      <i/>
      <sz val="8"/>
      <color theme="1"/>
      <name val="Arial Narrow"/>
      <family val="2"/>
    </font>
    <font>
      <b/>
      <sz val="8"/>
      <color theme="1"/>
      <name val="Arial Narrow"/>
      <family val="2"/>
    </font>
    <font>
      <sz val="7"/>
      <color theme="1"/>
      <name val="Arial Narrow"/>
      <family val="2"/>
    </font>
    <font>
      <b/>
      <u/>
      <sz val="11"/>
      <color rgb="FF000000"/>
      <name val="Arial Narrow"/>
      <family val="2"/>
    </font>
    <font>
      <b/>
      <sz val="14"/>
      <color theme="1"/>
      <name val="Arial Narrow"/>
      <family val="2"/>
    </font>
    <font>
      <b/>
      <i/>
      <sz val="11"/>
      <color rgb="FF000000"/>
      <name val="Arial Narrow"/>
      <family val="2"/>
    </font>
    <font>
      <b/>
      <i/>
      <sz val="10"/>
      <color rgb="FF000000"/>
      <name val="Arial Narrow"/>
      <family val="2"/>
    </font>
    <font>
      <b/>
      <i/>
      <sz val="9"/>
      <color theme="1"/>
      <name val="Arial Narrow"/>
      <family val="2"/>
    </font>
    <font>
      <b/>
      <sz val="12"/>
      <name val="Arial Narrow"/>
      <family val="2"/>
    </font>
    <font>
      <b/>
      <sz val="10"/>
      <name val="Arial Narrow"/>
      <family val="2"/>
    </font>
    <font>
      <sz val="10"/>
      <name val="Arial Narrow"/>
      <family val="2"/>
    </font>
    <font>
      <b/>
      <sz val="11"/>
      <name val="Arial Narrow"/>
      <family val="2"/>
    </font>
    <font>
      <b/>
      <sz val="20"/>
      <color theme="1"/>
      <name val="Arial Narrow"/>
      <family val="2"/>
    </font>
    <font>
      <b/>
      <sz val="24"/>
      <color theme="1"/>
      <name val="Arial Narrow"/>
      <family val="2"/>
    </font>
    <font>
      <b/>
      <sz val="10"/>
      <color theme="1"/>
      <name val="Arial"/>
      <family val="2"/>
    </font>
    <font>
      <b/>
      <sz val="11"/>
      <color theme="1"/>
      <name val="Calibri"/>
      <family val="2"/>
      <scheme val="minor"/>
    </font>
    <font>
      <sz val="11"/>
      <color theme="0"/>
      <name val="Arial Narrow"/>
      <family val="2"/>
    </font>
    <font>
      <sz val="9"/>
      <color indexed="81"/>
      <name val="Tahoma"/>
      <family val="2"/>
    </font>
    <font>
      <b/>
      <sz val="9"/>
      <color indexed="81"/>
      <name val="Tahoma"/>
      <family val="2"/>
    </font>
    <font>
      <sz val="10"/>
      <color theme="0"/>
      <name val="Arial Narrow"/>
      <family val="2"/>
    </font>
    <font>
      <b/>
      <sz val="10"/>
      <color theme="0"/>
      <name val="Arial Narrow"/>
      <family val="2"/>
    </font>
    <font>
      <b/>
      <sz val="9"/>
      <color theme="0"/>
      <name val="Arial Narrow"/>
      <family val="2"/>
    </font>
    <font>
      <b/>
      <i/>
      <sz val="9"/>
      <color theme="3" tint="0.39997558519241921"/>
      <name val="Arial Narrow"/>
      <family val="2"/>
    </font>
    <font>
      <b/>
      <sz val="12"/>
      <color theme="0"/>
      <name val="Arial Narrow"/>
      <family val="2"/>
    </font>
    <font>
      <b/>
      <i/>
      <sz val="11"/>
      <color theme="1"/>
      <name val="Calibri"/>
      <family val="2"/>
      <scheme val="minor"/>
    </font>
    <font>
      <sz val="14"/>
      <color theme="0"/>
      <name val="Arial Narrow"/>
      <family val="2"/>
    </font>
    <font>
      <b/>
      <sz val="11"/>
      <color theme="0"/>
      <name val="Arial Narrow"/>
      <family val="2"/>
    </font>
    <font>
      <b/>
      <sz val="16"/>
      <color theme="0"/>
      <name val="Arial Narrow"/>
      <family val="2"/>
    </font>
    <font>
      <b/>
      <sz val="14"/>
      <color theme="0"/>
      <name val="Arial Narrow"/>
      <family val="2"/>
    </font>
    <font>
      <sz val="8"/>
      <color theme="1"/>
      <name val="Calibri"/>
      <family val="2"/>
      <scheme val="minor"/>
    </font>
    <font>
      <b/>
      <sz val="8"/>
      <color theme="0"/>
      <name val="Arial Narrow"/>
      <family val="2"/>
    </font>
    <font>
      <b/>
      <sz val="14"/>
      <name val="Arial Narrow"/>
      <family val="2"/>
    </font>
    <font>
      <b/>
      <sz val="6"/>
      <color theme="1"/>
      <name val="Arial"/>
      <family val="2"/>
    </font>
    <font>
      <b/>
      <sz val="8"/>
      <color theme="1"/>
      <name val="Arial"/>
      <family val="2"/>
    </font>
    <font>
      <b/>
      <sz val="7.5"/>
      <color theme="1"/>
      <name val="Arial Narrow"/>
      <family val="2"/>
    </font>
    <font>
      <sz val="7.5"/>
      <color theme="1"/>
      <name val="Arial Narrow"/>
      <family val="2"/>
    </font>
    <font>
      <b/>
      <i/>
      <sz val="7.5"/>
      <color theme="1"/>
      <name val="Arial Narrow"/>
      <family val="2"/>
    </font>
    <font>
      <sz val="7"/>
      <color theme="1"/>
      <name val="Arial"/>
      <family val="2"/>
    </font>
    <font>
      <b/>
      <sz val="7.5"/>
      <color theme="1"/>
      <name val="Arial"/>
      <family val="2"/>
    </font>
    <font>
      <sz val="7.5"/>
      <color theme="1"/>
      <name val="Arial"/>
      <family val="2"/>
    </font>
    <font>
      <sz val="7.5"/>
      <color theme="1"/>
      <name val="Calibri"/>
      <family val="2"/>
      <scheme val="minor"/>
    </font>
    <font>
      <sz val="6"/>
      <color theme="1"/>
      <name val="Arial"/>
      <family val="2"/>
    </font>
    <font>
      <b/>
      <vertAlign val="superscript"/>
      <sz val="7.5"/>
      <color theme="1"/>
      <name val="Arial Narrow"/>
      <family val="2"/>
    </font>
    <font>
      <b/>
      <sz val="6"/>
      <color theme="1"/>
      <name val="Arial Narrow"/>
      <family val="2"/>
    </font>
    <font>
      <b/>
      <sz val="6.5"/>
      <color theme="1"/>
      <name val="Arial Narrow"/>
      <family val="2"/>
    </font>
    <font>
      <sz val="6.5"/>
      <color theme="1"/>
      <name val="Arial Narrow"/>
      <family val="2"/>
    </font>
    <font>
      <sz val="11"/>
      <name val="Arial Narrow"/>
      <family val="2"/>
    </font>
    <font>
      <sz val="12"/>
      <name val="Arial Narrow"/>
      <family val="2"/>
    </font>
    <font>
      <sz val="9"/>
      <name val="Arial Narrow"/>
      <family val="2"/>
    </font>
    <font>
      <b/>
      <i/>
      <sz val="9"/>
      <color theme="1"/>
      <name val="Calibri"/>
      <family val="2"/>
      <scheme val="minor"/>
    </font>
    <font>
      <sz val="9"/>
      <color rgb="FF000000"/>
      <name val="Calibri"/>
      <family val="2"/>
      <scheme val="minor"/>
    </font>
    <font>
      <b/>
      <sz val="8"/>
      <name val="Arial Narrow"/>
      <family val="2"/>
    </font>
    <font>
      <sz val="8"/>
      <color theme="1"/>
      <name val="Arial"/>
      <family val="2"/>
    </font>
    <font>
      <b/>
      <sz val="11"/>
      <name val="Arial"/>
      <family val="2"/>
    </font>
    <font>
      <b/>
      <sz val="10"/>
      <name val="Arial"/>
      <family val="2"/>
    </font>
    <font>
      <sz val="9"/>
      <name val="Arial"/>
      <family val="2"/>
    </font>
    <font>
      <b/>
      <sz val="9"/>
      <name val="Arial"/>
      <family val="2"/>
    </font>
    <font>
      <sz val="8"/>
      <name val="Arial"/>
      <family val="2"/>
    </font>
    <font>
      <sz val="12"/>
      <name val="Calibri"/>
      <family val="2"/>
      <scheme val="minor"/>
    </font>
    <font>
      <b/>
      <sz val="9"/>
      <color theme="1"/>
      <name val="Calibri"/>
      <family val="2"/>
      <scheme val="minor"/>
    </font>
    <font>
      <sz val="10"/>
      <color theme="1"/>
      <name val="Calibri"/>
      <family val="2"/>
      <scheme val="minor"/>
    </font>
    <font>
      <sz val="20"/>
      <color rgb="FFFF0000"/>
      <name val="Calibri"/>
      <family val="2"/>
      <scheme val="minor"/>
    </font>
    <font>
      <b/>
      <sz val="12"/>
      <color theme="0"/>
      <name val="Arial"/>
      <family val="2"/>
    </font>
    <font>
      <b/>
      <sz val="12"/>
      <color theme="1"/>
      <name val="Arial"/>
      <family val="2"/>
    </font>
    <font>
      <b/>
      <sz val="12"/>
      <color theme="0"/>
      <name val="Calibri"/>
      <family val="2"/>
      <scheme val="minor"/>
    </font>
    <font>
      <sz val="9"/>
      <color theme="1"/>
      <name val="Calibri"/>
      <family val="2"/>
      <scheme val="minor"/>
    </font>
    <font>
      <sz val="9"/>
      <name val="Calibri"/>
      <family val="2"/>
      <scheme val="minor"/>
    </font>
    <font>
      <vertAlign val="superscript"/>
      <sz val="10"/>
      <color theme="1"/>
      <name val="Arial Narrow"/>
      <family val="2"/>
    </font>
    <font>
      <b/>
      <sz val="10"/>
      <color theme="0" tint="-0.34998626667073579"/>
      <name val="Arial Narrow"/>
      <family val="2"/>
    </font>
    <font>
      <sz val="9"/>
      <color theme="0" tint="-0.34998626667073579"/>
      <name val="Arial Narrow"/>
      <family val="2"/>
    </font>
    <font>
      <b/>
      <vertAlign val="superscript"/>
      <sz val="9"/>
      <color theme="0" tint="-0.34998626667073579"/>
      <name val="Arial Narrow"/>
      <family val="2"/>
    </font>
    <font>
      <b/>
      <sz val="9"/>
      <color theme="0" tint="-0.34998626667073579"/>
      <name val="Arial Narrow"/>
      <family val="2"/>
    </font>
    <font>
      <sz val="11"/>
      <color theme="0" tint="-0.34998626667073579"/>
      <name val="Arial Narrow"/>
      <family val="2"/>
    </font>
    <font>
      <vertAlign val="superscript"/>
      <sz val="9"/>
      <color theme="0" tint="-0.34998626667073579"/>
      <name val="Arial Narrow"/>
      <family val="2"/>
    </font>
    <font>
      <b/>
      <sz val="11"/>
      <color theme="1"/>
      <name val="Arial"/>
      <family val="2"/>
    </font>
    <font>
      <b/>
      <sz val="8"/>
      <color theme="1"/>
      <name val="Calibri"/>
      <family val="2"/>
      <scheme val="minor"/>
    </font>
    <font>
      <b/>
      <sz val="14"/>
      <color rgb="FFFF0000"/>
      <name val="Arial Narrow"/>
      <family val="2"/>
    </font>
    <font>
      <b/>
      <sz val="9"/>
      <color theme="1"/>
      <name val="Arial"/>
      <family val="2"/>
    </font>
    <font>
      <b/>
      <sz val="9"/>
      <color rgb="FF000000"/>
      <name val="Times New Roman"/>
      <family val="1"/>
    </font>
    <font>
      <sz val="9"/>
      <color rgb="FF000000"/>
      <name val="Times New Roman"/>
      <family val="1"/>
    </font>
    <font>
      <b/>
      <sz val="8.5"/>
      <color rgb="FF000000"/>
      <name val="Times New Roman"/>
      <family val="1"/>
    </font>
    <font>
      <b/>
      <sz val="9"/>
      <color rgb="FF000000"/>
      <name val="Arial"/>
      <family val="2"/>
    </font>
    <font>
      <b/>
      <sz val="10"/>
      <color rgb="FF000000"/>
      <name val="Arial"/>
      <family val="2"/>
    </font>
    <font>
      <b/>
      <sz val="8"/>
      <color rgb="FF000000"/>
      <name val="Arial"/>
      <family val="2"/>
    </font>
    <font>
      <sz val="7"/>
      <color rgb="FF000000"/>
      <name val="Arial"/>
      <family val="2"/>
    </font>
    <font>
      <sz val="11"/>
      <name val="Calibri"/>
      <family val="2"/>
      <scheme val="minor"/>
    </font>
    <font>
      <sz val="11"/>
      <color rgb="FF000000"/>
      <name val="Calibri"/>
      <family val="2"/>
      <scheme val="minor"/>
    </font>
    <font>
      <sz val="8"/>
      <color rgb="FF000000"/>
      <name val="Arial"/>
      <family val="2"/>
    </font>
    <font>
      <sz val="9"/>
      <color rgb="FF000000"/>
      <name val="Arial"/>
      <family val="2"/>
    </font>
    <font>
      <sz val="9"/>
      <color theme="1"/>
      <name val="Arial"/>
      <family val="2"/>
    </font>
    <font>
      <i/>
      <sz val="8"/>
      <color rgb="FF000000"/>
      <name val="Arial"/>
      <family val="2"/>
    </font>
    <font>
      <i/>
      <sz val="9"/>
      <name val="Arial"/>
      <family val="2"/>
    </font>
    <font>
      <b/>
      <sz val="11"/>
      <color rgb="FF000000"/>
      <name val="Calibri"/>
      <family val="2"/>
      <scheme val="minor"/>
    </font>
    <font>
      <sz val="8"/>
      <color rgb="FF000000"/>
      <name val="Arial Narrow"/>
      <family val="2"/>
    </font>
    <font>
      <u/>
      <sz val="11"/>
      <color theme="10"/>
      <name val="Calibri"/>
      <family val="2"/>
      <scheme val="minor"/>
    </font>
    <font>
      <sz val="10"/>
      <color indexed="8"/>
      <name val="Arial Narrow"/>
      <family val="2"/>
    </font>
    <font>
      <sz val="7"/>
      <name val="Arial"/>
      <family val="2"/>
    </font>
    <font>
      <u/>
      <sz val="11"/>
      <name val="Calibri"/>
      <family val="2"/>
      <scheme val="minor"/>
    </font>
    <font>
      <u/>
      <sz val="9"/>
      <name val="Arial"/>
      <family val="2"/>
    </font>
    <font>
      <sz val="10"/>
      <name val="Verdana"/>
      <family val="2"/>
    </font>
    <font>
      <vertAlign val="superscript"/>
      <sz val="10"/>
      <name val="Symbol"/>
      <family val="1"/>
      <charset val="2"/>
    </font>
    <font>
      <vertAlign val="superscript"/>
      <sz val="9"/>
      <name val="Arial"/>
      <family val="2"/>
    </font>
    <font>
      <sz val="12"/>
      <name val="Times New Roman"/>
      <family val="1"/>
    </font>
    <font>
      <b/>
      <sz val="11"/>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indexed="47"/>
      </patternFill>
    </fill>
    <fill>
      <patternFill patternType="solid">
        <fgColor rgb="FFD9D9D9"/>
        <bgColor indexed="64"/>
      </patternFill>
    </fill>
    <fill>
      <patternFill patternType="solid">
        <fgColor rgb="FFBFBFBF"/>
        <bgColor indexed="64"/>
      </patternFill>
    </fill>
    <fill>
      <patternFill patternType="solid">
        <fgColor theme="0"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FFFF"/>
      </patternFill>
    </fill>
    <fill>
      <patternFill patternType="solid">
        <fgColor rgb="FFD3D3D3"/>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double">
        <color indexed="64"/>
      </top>
      <bottom/>
      <diagonal/>
    </border>
    <border>
      <left style="medium">
        <color indexed="64"/>
      </left>
      <right style="medium">
        <color indexed="64"/>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medium">
        <color rgb="FF000000"/>
      </left>
      <right style="medium">
        <color indexed="64"/>
      </right>
      <top/>
      <bottom/>
      <diagonal/>
    </border>
    <border>
      <left/>
      <right style="medium">
        <color rgb="FF000000"/>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dotted">
        <color indexed="64"/>
      </bottom>
      <diagonal/>
    </border>
    <border>
      <left/>
      <right style="medium">
        <color indexed="64"/>
      </right>
      <top/>
      <bottom style="dotted">
        <color indexed="64"/>
      </bottom>
      <diagonal/>
    </border>
    <border>
      <left style="thin">
        <color indexed="64"/>
      </left>
      <right/>
      <top style="thin">
        <color indexed="64"/>
      </top>
      <bottom style="thin">
        <color indexed="64"/>
      </bottom>
      <diagonal/>
    </border>
    <border>
      <left style="medium">
        <color rgb="FFFFFFFF"/>
      </left>
      <right/>
      <top style="medium">
        <color rgb="FFFFFFFF"/>
      </top>
      <bottom/>
      <diagonal/>
    </border>
    <border>
      <left/>
      <right/>
      <top style="medium">
        <color rgb="FFFFFFFF"/>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tint="-4.9989318521683403E-2"/>
      </right>
      <top style="thin">
        <color indexed="64"/>
      </top>
      <bottom style="thin">
        <color theme="0" tint="-4.9989318521683403E-2"/>
      </bottom>
      <diagonal/>
    </border>
    <border>
      <left style="thin">
        <color theme="0" tint="-4.9989318521683403E-2"/>
      </left>
      <right/>
      <top style="thin">
        <color indexed="64"/>
      </top>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tint="-4.9989318521683403E-2"/>
      </left>
      <right/>
      <top style="thin">
        <color theme="0" tint="-4.9989318521683403E-2"/>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tint="-4.9989318521683403E-2"/>
      </left>
      <right/>
      <top/>
      <bottom style="thin">
        <color theme="0" tint="-4.9989318521683403E-2"/>
      </bottom>
      <diagonal/>
    </border>
    <border>
      <left/>
      <right style="thin">
        <color theme="0"/>
      </right>
      <top style="thin">
        <color theme="0"/>
      </top>
      <bottom/>
      <diagonal/>
    </border>
    <border>
      <left style="thin">
        <color theme="0"/>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right>
      <top/>
      <bottom/>
      <diagonal/>
    </border>
    <border>
      <left style="thin">
        <color theme="0" tint="-4.9989318521683403E-2"/>
      </left>
      <right/>
      <top/>
      <bottom/>
      <diagonal/>
    </border>
    <border>
      <left style="thin">
        <color theme="0" tint="-4.9989318521683403E-2"/>
      </left>
      <right style="thin">
        <color theme="0" tint="-4.9989318521683403E-2"/>
      </right>
      <top/>
      <bottom style="thin">
        <color theme="0" tint="-4.9989318521683403E-2"/>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diagonal/>
    </border>
    <border>
      <left style="thin">
        <color theme="0"/>
      </left>
      <right style="thin">
        <color theme="0" tint="-4.9989318521683403E-2"/>
      </right>
      <top style="thin">
        <color theme="0" tint="-4.9989318521683403E-2"/>
      </top>
      <bottom/>
      <diagonal/>
    </border>
    <border>
      <left style="thin">
        <color theme="0"/>
      </left>
      <right/>
      <top style="thin">
        <color theme="0" tint="-4.9989318521683403E-2"/>
      </top>
      <bottom/>
      <diagonal/>
    </border>
    <border>
      <left/>
      <right style="thin">
        <color theme="0" tint="-4.9989318521683403E-2"/>
      </right>
      <top style="thin">
        <color theme="0" tint="-4.9989318521683403E-2"/>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right style="thin">
        <color rgb="FF000000"/>
      </right>
      <top/>
      <bottom/>
      <diagonal/>
    </border>
    <border>
      <left style="thin">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bottom style="medium">
        <color indexed="64"/>
      </bottom>
      <diagonal/>
    </border>
  </borders>
  <cellStyleXfs count="15">
    <xf numFmtId="0" fontId="0"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9" fillId="0" borderId="0"/>
    <xf numFmtId="44" fontId="8" fillId="0" borderId="0" applyFont="0" applyFill="0" applyBorder="0" applyAlignment="0" applyProtection="0"/>
    <xf numFmtId="43" fontId="4" fillId="0" borderId="0" applyFont="0" applyFill="0" applyBorder="0" applyAlignment="0" applyProtection="0"/>
    <xf numFmtId="0" fontId="13" fillId="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118" fillId="0" borderId="0" applyNumberFormat="0" applyFill="0" applyBorder="0" applyAlignment="0" applyProtection="0"/>
  </cellStyleXfs>
  <cellXfs count="1630">
    <xf numFmtId="0" fontId="0" fillId="0" borderId="0" xfId="0"/>
    <xf numFmtId="0" fontId="1" fillId="0" borderId="8" xfId="0" applyFont="1" applyBorder="1"/>
    <xf numFmtId="0" fontId="1" fillId="0" borderId="9" xfId="0" applyFont="1" applyBorder="1"/>
    <xf numFmtId="0" fontId="5" fillId="0" borderId="0" xfId="0" applyFont="1"/>
    <xf numFmtId="0" fontId="6" fillId="0" borderId="0" xfId="0" applyFont="1" applyFill="1" applyBorder="1" applyAlignment="1">
      <alignment horizontal="right" vertical="top"/>
    </xf>
    <xf numFmtId="0" fontId="11" fillId="0" borderId="0" xfId="0" applyFont="1" applyFill="1" applyBorder="1" applyAlignment="1">
      <alignment vertical="top"/>
    </xf>
    <xf numFmtId="0" fontId="5" fillId="0" borderId="0" xfId="0" applyFont="1" applyAlignment="1">
      <alignment vertical="center"/>
    </xf>
    <xf numFmtId="0" fontId="5"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0" xfId="0" applyFont="1" applyBorder="1"/>
    <xf numFmtId="0" fontId="1" fillId="0" borderId="6" xfId="0" applyFont="1" applyBorder="1"/>
    <xf numFmtId="0" fontId="3" fillId="0" borderId="5" xfId="0" applyFont="1" applyBorder="1"/>
    <xf numFmtId="0" fontId="3" fillId="0" borderId="0" xfId="0" applyFont="1" applyBorder="1" applyAlignment="1">
      <alignment vertical="justify"/>
    </xf>
    <xf numFmtId="0" fontId="1" fillId="0" borderId="7" xfId="0" applyFont="1" applyBorder="1"/>
    <xf numFmtId="0" fontId="3" fillId="0" borderId="8" xfId="0" applyFont="1" applyBorder="1" applyAlignment="1">
      <alignment vertical="justify"/>
    </xf>
    <xf numFmtId="0" fontId="5" fillId="0" borderId="0" xfId="0" applyFont="1" applyFill="1" applyBorder="1"/>
    <xf numFmtId="0" fontId="20"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33" fillId="0" borderId="5" xfId="0" applyFont="1" applyBorder="1" applyAlignment="1">
      <alignment horizontal="center" vertical="center"/>
    </xf>
    <xf numFmtId="0" fontId="33" fillId="0" borderId="17" xfId="0" applyFont="1" applyBorder="1" applyAlignment="1">
      <alignment horizontal="center" vertical="center"/>
    </xf>
    <xf numFmtId="0" fontId="33" fillId="0" borderId="6" xfId="0" applyFont="1" applyBorder="1" applyAlignment="1">
      <alignment horizontal="center" vertical="center"/>
    </xf>
    <xf numFmtId="0" fontId="32" fillId="0" borderId="0" xfId="0" applyFont="1" applyAlignment="1"/>
    <xf numFmtId="0" fontId="35" fillId="0" borderId="16" xfId="0" applyFont="1" applyBorder="1" applyAlignment="1">
      <alignment horizontal="center" vertical="center"/>
    </xf>
    <xf numFmtId="0" fontId="35" fillId="0" borderId="18" xfId="0" applyFont="1" applyBorder="1" applyAlignment="1">
      <alignment horizontal="center" vertical="center"/>
    </xf>
    <xf numFmtId="0" fontId="37" fillId="0" borderId="0" xfId="0" applyFont="1" applyAlignment="1">
      <alignment horizontal="center"/>
    </xf>
    <xf numFmtId="0" fontId="5" fillId="2" borderId="0" xfId="0" applyFont="1" applyFill="1"/>
    <xf numFmtId="0" fontId="28" fillId="2" borderId="0" xfId="0" applyFont="1" applyFill="1"/>
    <xf numFmtId="0" fontId="33" fillId="0" borderId="14" xfId="0" applyFont="1" applyFill="1" applyBorder="1" applyAlignment="1">
      <alignment horizontal="center" vertical="center"/>
    </xf>
    <xf numFmtId="0" fontId="5" fillId="0" borderId="0" xfId="0" applyFont="1" applyFill="1"/>
    <xf numFmtId="0" fontId="11" fillId="0" borderId="8" xfId="0" applyFont="1" applyFill="1" applyBorder="1" applyAlignment="1">
      <alignment vertical="center"/>
    </xf>
    <xf numFmtId="0" fontId="6" fillId="0" borderId="0" xfId="0" applyFont="1" applyFill="1" applyBorder="1" applyAlignment="1">
      <alignment horizontal="left" vertical="top"/>
    </xf>
    <xf numFmtId="43" fontId="15" fillId="2" borderId="0" xfId="0" applyNumberFormat="1" applyFont="1" applyFill="1" applyBorder="1" applyAlignment="1" applyProtection="1">
      <alignment wrapText="1"/>
    </xf>
    <xf numFmtId="0" fontId="6" fillId="0" borderId="0" xfId="0" applyFont="1" applyFill="1" applyBorder="1" applyAlignment="1" applyProtection="1">
      <alignment vertical="top"/>
      <protection locked="0"/>
    </xf>
    <xf numFmtId="0" fontId="5" fillId="0" borderId="0" xfId="0" applyFont="1" applyFill="1" applyProtection="1">
      <protection locked="0"/>
    </xf>
    <xf numFmtId="0" fontId="6" fillId="0" borderId="0" xfId="0" applyFont="1" applyFill="1" applyBorder="1" applyAlignment="1" applyProtection="1">
      <alignment horizontal="right" vertical="top"/>
      <protection locked="0"/>
    </xf>
    <xf numFmtId="0" fontId="5" fillId="0" borderId="0" xfId="0" applyFont="1" applyFill="1" applyBorder="1" applyProtection="1">
      <protection locked="0"/>
    </xf>
    <xf numFmtId="0" fontId="11" fillId="0" borderId="0" xfId="0" applyFont="1" applyFill="1" applyBorder="1" applyAlignment="1" applyProtection="1">
      <alignment horizontal="center" vertical="top"/>
      <protection locked="0"/>
    </xf>
    <xf numFmtId="0" fontId="11" fillId="0" borderId="0" xfId="0" applyFont="1" applyFill="1" applyBorder="1" applyAlignment="1" applyProtection="1">
      <alignment vertical="top"/>
      <protection locked="0"/>
    </xf>
    <xf numFmtId="0" fontId="2" fillId="0" borderId="5"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2" fillId="0" borderId="6" xfId="0" applyFont="1" applyFill="1" applyBorder="1" applyAlignment="1" applyProtection="1">
      <alignment vertical="top" wrapText="1"/>
      <protection locked="0"/>
    </xf>
    <xf numFmtId="0" fontId="7" fillId="0" borderId="5" xfId="0" applyFont="1" applyFill="1" applyBorder="1" applyAlignment="1" applyProtection="1">
      <alignment wrapText="1"/>
      <protection locked="0"/>
    </xf>
    <xf numFmtId="0" fontId="15" fillId="0" borderId="0" xfId="0" applyFont="1" applyFill="1" applyBorder="1" applyAlignment="1" applyProtection="1">
      <alignment wrapText="1"/>
      <protection locked="0"/>
    </xf>
    <xf numFmtId="0" fontId="5" fillId="0" borderId="0" xfId="0" applyFont="1" applyFill="1" applyBorder="1" applyAlignment="1" applyProtection="1">
      <alignment horizontal="justify" wrapText="1"/>
      <protection locked="0"/>
    </xf>
    <xf numFmtId="0" fontId="7" fillId="0" borderId="0" xfId="0" applyFont="1" applyFill="1" applyBorder="1" applyAlignment="1" applyProtection="1">
      <alignment wrapText="1"/>
      <protection locked="0"/>
    </xf>
    <xf numFmtId="0" fontId="15" fillId="0" borderId="6" xfId="0" applyFont="1" applyFill="1" applyBorder="1" applyAlignment="1" applyProtection="1">
      <alignment wrapText="1"/>
      <protection locked="0"/>
    </xf>
    <xf numFmtId="0" fontId="5" fillId="0" borderId="5" xfId="0" applyFont="1" applyFill="1" applyBorder="1" applyAlignment="1" applyProtection="1">
      <alignment wrapText="1"/>
      <protection locked="0"/>
    </xf>
    <xf numFmtId="43" fontId="1" fillId="0" borderId="0" xfId="8" applyNumberFormat="1" applyFont="1" applyFill="1" applyBorder="1" applyAlignment="1" applyProtection="1">
      <alignment vertical="top" wrapText="1"/>
      <protection locked="0"/>
    </xf>
    <xf numFmtId="0" fontId="5" fillId="0" borderId="0" xfId="0" applyFont="1" applyFill="1" applyBorder="1" applyAlignment="1" applyProtection="1">
      <alignment wrapText="1"/>
      <protection locked="0"/>
    </xf>
    <xf numFmtId="43" fontId="1" fillId="0" borderId="6" xfId="8" applyNumberFormat="1" applyFont="1" applyFill="1" applyBorder="1" applyAlignment="1" applyProtection="1">
      <alignment vertical="top" wrapText="1"/>
      <protection locked="0"/>
    </xf>
    <xf numFmtId="0" fontId="5" fillId="0" borderId="5" xfId="0" applyFont="1" applyFill="1" applyBorder="1" applyAlignment="1" applyProtection="1">
      <alignment horizontal="left" wrapText="1"/>
      <protection locked="0"/>
    </xf>
    <xf numFmtId="0" fontId="16" fillId="0" borderId="5" xfId="0" applyFont="1" applyFill="1" applyBorder="1" applyAlignment="1" applyProtection="1">
      <alignment horizontal="justify" wrapText="1"/>
      <protection locked="0"/>
    </xf>
    <xf numFmtId="43" fontId="1" fillId="0" borderId="0" xfId="0" applyNumberFormat="1" applyFont="1" applyFill="1" applyBorder="1" applyAlignment="1" applyProtection="1">
      <alignment wrapText="1"/>
      <protection locked="0"/>
    </xf>
    <xf numFmtId="43" fontId="17" fillId="0" borderId="0" xfId="0" applyNumberFormat="1" applyFont="1" applyFill="1" applyBorder="1" applyAlignment="1" applyProtection="1">
      <alignment wrapText="1"/>
      <protection locked="0"/>
    </xf>
    <xf numFmtId="0" fontId="18" fillId="0" borderId="0" xfId="0" applyFont="1" applyFill="1" applyBorder="1" applyAlignment="1" applyProtection="1">
      <alignment wrapText="1"/>
      <protection locked="0"/>
    </xf>
    <xf numFmtId="43" fontId="17" fillId="0" borderId="6" xfId="0" applyNumberFormat="1" applyFont="1" applyFill="1" applyBorder="1" applyAlignment="1" applyProtection="1">
      <alignment wrapText="1"/>
      <protection locked="0"/>
    </xf>
    <xf numFmtId="43" fontId="15" fillId="0" borderId="0" xfId="0" applyNumberFormat="1" applyFont="1" applyFill="1" applyBorder="1" applyAlignment="1" applyProtection="1">
      <alignment wrapText="1"/>
      <protection locked="0"/>
    </xf>
    <xf numFmtId="43" fontId="15" fillId="0" borderId="6" xfId="0" applyNumberFormat="1" applyFont="1" applyFill="1" applyBorder="1" applyAlignment="1" applyProtection="1">
      <alignment wrapText="1"/>
      <protection locked="0"/>
    </xf>
    <xf numFmtId="0" fontId="5" fillId="0" borderId="0" xfId="0" applyFont="1" applyFill="1" applyBorder="1" applyAlignment="1" applyProtection="1">
      <protection locked="0"/>
    </xf>
    <xf numFmtId="0" fontId="18" fillId="0" borderId="5" xfId="0" applyFont="1" applyFill="1" applyBorder="1" applyAlignment="1" applyProtection="1">
      <alignment wrapText="1"/>
      <protection locked="0"/>
    </xf>
    <xf numFmtId="43" fontId="1" fillId="0" borderId="6" xfId="0" applyNumberFormat="1" applyFont="1" applyFill="1" applyBorder="1" applyAlignment="1" applyProtection="1">
      <alignment wrapText="1"/>
      <protection locked="0"/>
    </xf>
    <xf numFmtId="0" fontId="0" fillId="0" borderId="0" xfId="0" applyFont="1" applyFill="1" applyProtection="1">
      <protection locked="0"/>
    </xf>
    <xf numFmtId="0" fontId="6" fillId="0" borderId="0" xfId="0" applyFont="1" applyFill="1" applyBorder="1" applyAlignment="1" applyProtection="1">
      <alignment wrapText="1"/>
      <protection locked="0"/>
    </xf>
    <xf numFmtId="0" fontId="5" fillId="0" borderId="5" xfId="0" applyFont="1" applyFill="1" applyBorder="1" applyAlignment="1" applyProtection="1">
      <protection locked="0"/>
    </xf>
    <xf numFmtId="43" fontId="1" fillId="0" borderId="0" xfId="0" applyNumberFormat="1" applyFont="1" applyFill="1" applyBorder="1" applyAlignment="1" applyProtection="1">
      <protection locked="0"/>
    </xf>
    <xf numFmtId="0" fontId="16" fillId="0" borderId="0" xfId="0" applyFont="1" applyFill="1" applyBorder="1" applyAlignment="1" applyProtection="1">
      <alignment horizontal="justify" wrapText="1"/>
      <protection locked="0"/>
    </xf>
    <xf numFmtId="43" fontId="1" fillId="0" borderId="6" xfId="0" applyNumberFormat="1" applyFont="1" applyFill="1" applyBorder="1" applyAlignment="1" applyProtection="1">
      <protection locked="0"/>
    </xf>
    <xf numFmtId="4" fontId="1" fillId="0" borderId="0" xfId="0" applyNumberFormat="1" applyFont="1" applyFill="1" applyBorder="1" applyProtection="1">
      <protection locked="0"/>
    </xf>
    <xf numFmtId="4" fontId="1" fillId="0" borderId="6" xfId="0" applyNumberFormat="1" applyFont="1" applyFill="1" applyBorder="1" applyProtection="1">
      <protection locked="0"/>
    </xf>
    <xf numFmtId="0" fontId="5" fillId="0" borderId="7" xfId="0" applyFont="1" applyFill="1" applyBorder="1" applyProtection="1">
      <protection locked="0"/>
    </xf>
    <xf numFmtId="43" fontId="1" fillId="0" borderId="8" xfId="0" applyNumberFormat="1" applyFont="1" applyFill="1" applyBorder="1" applyProtection="1">
      <protection locked="0"/>
    </xf>
    <xf numFmtId="0" fontId="5" fillId="0" borderId="8" xfId="0" applyFont="1" applyFill="1" applyBorder="1" applyProtection="1">
      <protection locked="0"/>
    </xf>
    <xf numFmtId="0" fontId="1" fillId="0" borderId="8" xfId="0" applyFont="1" applyFill="1" applyBorder="1" applyProtection="1">
      <protection locked="0"/>
    </xf>
    <xf numFmtId="0" fontId="1" fillId="0" borderId="9" xfId="0" applyFont="1" applyFill="1" applyBorder="1" applyProtection="1">
      <protection locked="0"/>
    </xf>
    <xf numFmtId="43" fontId="15" fillId="2" borderId="6" xfId="0" applyNumberFormat="1" applyFont="1" applyFill="1" applyBorder="1" applyAlignment="1" applyProtection="1">
      <alignment wrapText="1"/>
    </xf>
    <xf numFmtId="43" fontId="3" fillId="2" borderId="0" xfId="0" applyNumberFormat="1" applyFont="1" applyFill="1" applyBorder="1" applyAlignment="1" applyProtection="1">
      <alignment wrapText="1"/>
    </xf>
    <xf numFmtId="43" fontId="3" fillId="2" borderId="6" xfId="0" applyNumberFormat="1" applyFont="1" applyFill="1" applyBorder="1" applyAlignment="1" applyProtection="1">
      <alignment wrapText="1"/>
    </xf>
    <xf numFmtId="43" fontId="3" fillId="2" borderId="0" xfId="0" applyNumberFormat="1" applyFont="1" applyFill="1" applyBorder="1" applyAlignment="1" applyProtection="1">
      <alignment vertical="center" wrapText="1"/>
    </xf>
    <xf numFmtId="43" fontId="3" fillId="2" borderId="6" xfId="0" applyNumberFormat="1" applyFont="1" applyFill="1" applyBorder="1" applyAlignment="1" applyProtection="1">
      <alignment vertical="center" wrapText="1"/>
    </xf>
    <xf numFmtId="43" fontId="15" fillId="2" borderId="0" xfId="0" applyNumberFormat="1" applyFont="1" applyFill="1" applyBorder="1" applyAlignment="1" applyProtection="1"/>
    <xf numFmtId="43" fontId="15" fillId="2" borderId="6" xfId="0" applyNumberFormat="1" applyFont="1" applyFill="1" applyBorder="1" applyAlignment="1" applyProtection="1"/>
    <xf numFmtId="0" fontId="6" fillId="0" borderId="38"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right" vertical="top"/>
      <protection locked="0"/>
    </xf>
    <xf numFmtId="0" fontId="5" fillId="2" borderId="0" xfId="0" applyFont="1" applyFill="1" applyProtection="1">
      <protection locked="0"/>
    </xf>
    <xf numFmtId="0" fontId="6" fillId="0" borderId="0" xfId="0" applyFont="1" applyFill="1" applyProtection="1">
      <protection locked="0"/>
    </xf>
    <xf numFmtId="0" fontId="7" fillId="2" borderId="5" xfId="0" applyFont="1" applyFill="1" applyBorder="1" applyAlignment="1" applyProtection="1">
      <alignment wrapText="1"/>
      <protection locked="0"/>
    </xf>
    <xf numFmtId="0" fontId="7" fillId="2" borderId="0" xfId="0" applyFont="1" applyFill="1" applyBorder="1" applyAlignment="1" applyProtection="1">
      <protection locked="0"/>
    </xf>
    <xf numFmtId="0" fontId="7" fillId="2" borderId="0" xfId="0" applyFont="1" applyFill="1" applyBorder="1" applyAlignment="1" applyProtection="1">
      <alignment wrapText="1"/>
      <protection locked="0"/>
    </xf>
    <xf numFmtId="0" fontId="7" fillId="2" borderId="0" xfId="0" applyFont="1" applyFill="1" applyBorder="1" applyAlignment="1" applyProtection="1">
      <alignment horizontal="left" wrapText="1"/>
      <protection locked="0"/>
    </xf>
    <xf numFmtId="0" fontId="5" fillId="0" borderId="0" xfId="0" applyFont="1" applyProtection="1">
      <protection locked="0"/>
    </xf>
    <xf numFmtId="0" fontId="20" fillId="0" borderId="0" xfId="0" applyFont="1" applyBorder="1" applyAlignment="1" applyProtection="1">
      <alignment horizontal="left"/>
      <protection locked="0"/>
    </xf>
    <xf numFmtId="0" fontId="5" fillId="0" borderId="0" xfId="0" applyFont="1" applyBorder="1" applyAlignment="1" applyProtection="1">
      <alignment horizontal="left"/>
      <protection locked="0"/>
    </xf>
    <xf numFmtId="0" fontId="6" fillId="0" borderId="5"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5" fillId="0" borderId="0" xfId="0" applyFont="1" applyBorder="1" applyAlignment="1" applyProtection="1">
      <alignment horizontal="left" vertical="top"/>
      <protection locked="0"/>
    </xf>
    <xf numFmtId="0" fontId="21" fillId="2" borderId="5" xfId="0" applyFont="1" applyFill="1" applyBorder="1" applyAlignment="1" applyProtection="1">
      <alignment horizontal="left" vertical="top"/>
      <protection locked="0"/>
    </xf>
    <xf numFmtId="0" fontId="21" fillId="2" borderId="0" xfId="0" applyFont="1" applyFill="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7" fillId="2" borderId="5" xfId="0" applyFont="1" applyFill="1" applyBorder="1" applyAlignment="1" applyProtection="1">
      <alignment horizontal="left" vertical="top"/>
      <protection locked="0"/>
    </xf>
    <xf numFmtId="0" fontId="7" fillId="2" borderId="0" xfId="0" applyFont="1" applyFill="1" applyBorder="1" applyAlignment="1" applyProtection="1">
      <alignment horizontal="left" vertical="top"/>
      <protection locked="0"/>
    </xf>
    <xf numFmtId="0" fontId="16" fillId="0" borderId="0" xfId="0" applyFont="1" applyBorder="1" applyAlignment="1" applyProtection="1">
      <alignment horizontal="left" vertical="top"/>
      <protection locked="0"/>
    </xf>
    <xf numFmtId="0" fontId="16" fillId="0" borderId="7" xfId="0" applyFont="1" applyBorder="1" applyAlignment="1" applyProtection="1">
      <alignment horizontal="left" vertical="top"/>
      <protection locked="0"/>
    </xf>
    <xf numFmtId="0" fontId="16" fillId="0" borderId="8" xfId="0" applyFont="1" applyBorder="1" applyAlignment="1" applyProtection="1">
      <alignment horizontal="left" vertical="top"/>
      <protection locked="0"/>
    </xf>
    <xf numFmtId="0" fontId="6" fillId="0" borderId="41" xfId="0" applyFont="1" applyFill="1" applyBorder="1" applyAlignment="1" applyProtection="1">
      <alignment horizontal="center" vertical="center" wrapText="1"/>
      <protection locked="0"/>
    </xf>
    <xf numFmtId="0" fontId="22" fillId="0" borderId="0" xfId="0" applyFont="1" applyProtection="1">
      <protection locked="0"/>
    </xf>
    <xf numFmtId="0" fontId="5" fillId="0" borderId="0" xfId="0" applyFont="1" applyAlignment="1" applyProtection="1">
      <alignment vertical="center"/>
      <protection locked="0"/>
    </xf>
    <xf numFmtId="0" fontId="5" fillId="0" borderId="0" xfId="0" applyFont="1" applyAlignment="1" applyProtection="1">
      <protection locked="0"/>
    </xf>
    <xf numFmtId="0" fontId="22" fillId="0" borderId="0" xfId="0" applyFont="1" applyAlignment="1" applyProtection="1">
      <protection locked="0"/>
    </xf>
    <xf numFmtId="0" fontId="21" fillId="3" borderId="42" xfId="0" applyFont="1" applyFill="1" applyBorder="1" applyAlignment="1" applyProtection="1">
      <alignment horizontal="justify" vertical="center"/>
      <protection locked="0"/>
    </xf>
    <xf numFmtId="0" fontId="27" fillId="3" borderId="41" xfId="0" applyFont="1" applyFill="1" applyBorder="1" applyAlignment="1" applyProtection="1">
      <alignment horizontal="center" vertical="center"/>
      <protection locked="0"/>
    </xf>
    <xf numFmtId="0" fontId="27" fillId="3" borderId="43" xfId="0" applyFont="1" applyFill="1" applyBorder="1" applyAlignment="1" applyProtection="1">
      <alignment horizontal="center" vertical="center"/>
      <protection locked="0"/>
    </xf>
    <xf numFmtId="0" fontId="12" fillId="0" borderId="6" xfId="0" applyFont="1" applyFill="1" applyBorder="1" applyProtection="1">
      <protection locked="0"/>
    </xf>
    <xf numFmtId="0" fontId="12" fillId="0" borderId="0" xfId="0" applyFont="1" applyFill="1" applyProtection="1">
      <protection locked="0"/>
    </xf>
    <xf numFmtId="0" fontId="12" fillId="0" borderId="5" xfId="0" applyFont="1" applyFill="1" applyBorder="1" applyAlignment="1" applyProtection="1">
      <alignment horizontal="justify" vertical="top"/>
      <protection locked="0"/>
    </xf>
    <xf numFmtId="0" fontId="25" fillId="0" borderId="0" xfId="0" applyFont="1" applyFill="1" applyBorder="1" applyAlignment="1" applyProtection="1">
      <alignment vertical="top"/>
      <protection locked="0"/>
    </xf>
    <xf numFmtId="0" fontId="26" fillId="0" borderId="5" xfId="0" applyFont="1" applyFill="1" applyBorder="1" applyAlignment="1" applyProtection="1">
      <alignment horizontal="justify" vertical="top"/>
      <protection locked="0"/>
    </xf>
    <xf numFmtId="0" fontId="26" fillId="0" borderId="0" xfId="0" applyFont="1" applyFill="1" applyProtection="1">
      <protection locked="0"/>
    </xf>
    <xf numFmtId="0" fontId="24" fillId="0" borderId="5" xfId="0" applyFont="1" applyFill="1" applyBorder="1" applyAlignment="1" applyProtection="1">
      <alignment vertical="top"/>
      <protection locked="0"/>
    </xf>
    <xf numFmtId="0" fontId="24" fillId="0" borderId="0" xfId="0" applyFont="1" applyFill="1" applyBorder="1" applyAlignment="1" applyProtection="1">
      <alignment vertical="top"/>
      <protection locked="0"/>
    </xf>
    <xf numFmtId="0" fontId="12" fillId="0" borderId="5"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25" fillId="0" borderId="5" xfId="0" applyFont="1" applyFill="1" applyBorder="1" applyAlignment="1" applyProtection="1">
      <alignment vertical="top"/>
      <protection locked="0"/>
    </xf>
    <xf numFmtId="0" fontId="24" fillId="0" borderId="0" xfId="0" applyFont="1" applyFill="1" applyBorder="1" applyAlignment="1" applyProtection="1">
      <alignment vertical="top" wrapText="1"/>
      <protection locked="0"/>
    </xf>
    <xf numFmtId="0" fontId="23" fillId="0" borderId="5" xfId="0" applyFont="1" applyFill="1" applyBorder="1" applyAlignment="1" applyProtection="1">
      <alignment vertical="top"/>
      <protection locked="0"/>
    </xf>
    <xf numFmtId="0" fontId="23" fillId="0" borderId="0" xfId="0" applyFont="1" applyFill="1" applyBorder="1" applyAlignment="1" applyProtection="1">
      <alignment vertical="top"/>
      <protection locked="0"/>
    </xf>
    <xf numFmtId="0" fontId="24" fillId="0" borderId="8" xfId="0" applyFont="1" applyFill="1" applyBorder="1" applyAlignment="1" applyProtection="1">
      <alignment vertical="top" wrapText="1"/>
      <protection locked="0"/>
    </xf>
    <xf numFmtId="0" fontId="24" fillId="0" borderId="7" xfId="0" applyFont="1" applyFill="1" applyBorder="1" applyAlignment="1" applyProtection="1">
      <alignment vertical="top"/>
      <protection locked="0"/>
    </xf>
    <xf numFmtId="0" fontId="12" fillId="0" borderId="0" xfId="0" applyFont="1" applyFill="1" applyBorder="1" applyAlignment="1" applyProtection="1">
      <alignment horizontal="left" vertical="top" wrapText="1" indent="2"/>
      <protection locked="0"/>
    </xf>
    <xf numFmtId="0" fontId="12" fillId="0" borderId="0" xfId="0" applyFont="1" applyFill="1" applyBorder="1" applyAlignment="1" applyProtection="1">
      <alignment horizontal="left" vertical="top" indent="2"/>
      <protection locked="0"/>
    </xf>
    <xf numFmtId="4" fontId="25" fillId="0" borderId="0" xfId="0" applyNumberFormat="1" applyFont="1" applyFill="1" applyBorder="1" applyAlignment="1" applyProtection="1">
      <alignment vertical="top"/>
    </xf>
    <xf numFmtId="4" fontId="25" fillId="0" borderId="6" xfId="0" applyNumberFormat="1" applyFont="1" applyFill="1" applyBorder="1" applyAlignment="1" applyProtection="1">
      <alignment vertical="top"/>
    </xf>
    <xf numFmtId="4" fontId="12" fillId="0" borderId="0" xfId="0" applyNumberFormat="1" applyFont="1" applyFill="1" applyBorder="1" applyProtection="1">
      <protection locked="0"/>
    </xf>
    <xf numFmtId="4" fontId="12" fillId="0" borderId="6" xfId="0" applyNumberFormat="1" applyFont="1" applyFill="1" applyBorder="1" applyProtection="1">
      <protection locked="0"/>
    </xf>
    <xf numFmtId="4" fontId="24" fillId="0" borderId="0" xfId="0" applyNumberFormat="1" applyFont="1" applyFill="1" applyBorder="1" applyAlignment="1" applyProtection="1">
      <alignment vertical="top"/>
    </xf>
    <xf numFmtId="4" fontId="24" fillId="0" borderId="6" xfId="0" applyNumberFormat="1" applyFont="1" applyFill="1" applyBorder="1" applyAlignment="1" applyProtection="1">
      <alignment vertical="top"/>
    </xf>
    <xf numFmtId="4" fontId="12" fillId="0" borderId="0" xfId="0" applyNumberFormat="1" applyFont="1" applyFill="1" applyBorder="1" applyAlignment="1" applyProtection="1">
      <alignment vertical="top"/>
    </xf>
    <xf numFmtId="4" fontId="12" fillId="0" borderId="6" xfId="0" applyNumberFormat="1" applyFont="1" applyFill="1" applyBorder="1" applyAlignment="1" applyProtection="1">
      <alignment vertical="top"/>
    </xf>
    <xf numFmtId="4" fontId="25" fillId="0" borderId="0" xfId="0" applyNumberFormat="1" applyFont="1" applyFill="1" applyBorder="1" applyAlignment="1" applyProtection="1">
      <alignment vertical="top"/>
      <protection locked="0"/>
    </xf>
    <xf numFmtId="4" fontId="25" fillId="0" borderId="6" xfId="0" applyNumberFormat="1" applyFont="1" applyFill="1" applyBorder="1" applyAlignment="1" applyProtection="1">
      <alignment vertical="top"/>
      <protection locked="0"/>
    </xf>
    <xf numFmtId="4" fontId="12" fillId="0" borderId="0" xfId="0" applyNumberFormat="1" applyFont="1" applyFill="1" applyBorder="1" applyAlignment="1" applyProtection="1">
      <alignment vertical="top"/>
      <protection locked="0"/>
    </xf>
    <xf numFmtId="4" fontId="12" fillId="0" borderId="6" xfId="0" applyNumberFormat="1" applyFont="1" applyFill="1" applyBorder="1" applyAlignment="1" applyProtection="1">
      <alignment vertical="top"/>
      <protection locked="0"/>
    </xf>
    <xf numFmtId="4" fontId="24" fillId="0" borderId="0" xfId="0" applyNumberFormat="1" applyFont="1" applyFill="1" applyBorder="1" applyAlignment="1" applyProtection="1">
      <alignment vertical="top" wrapText="1"/>
    </xf>
    <xf numFmtId="4" fontId="24" fillId="0" borderId="6" xfId="0" applyNumberFormat="1" applyFont="1" applyFill="1" applyBorder="1" applyAlignment="1" applyProtection="1">
      <alignment vertical="top" wrapText="1"/>
    </xf>
    <xf numFmtId="4" fontId="24" fillId="0" borderId="8" xfId="0" applyNumberFormat="1" applyFont="1" applyFill="1" applyBorder="1" applyAlignment="1" applyProtection="1">
      <alignment vertical="top" wrapText="1"/>
    </xf>
    <xf numFmtId="4" fontId="24" fillId="0" borderId="9" xfId="0" applyNumberFormat="1" applyFont="1" applyFill="1" applyBorder="1" applyAlignment="1" applyProtection="1">
      <alignment vertical="top" wrapText="1"/>
    </xf>
    <xf numFmtId="0" fontId="14" fillId="0" borderId="41" xfId="0" applyFont="1" applyFill="1" applyBorder="1" applyAlignment="1" applyProtection="1">
      <alignment horizontal="center" vertical="center"/>
      <protection locked="0"/>
    </xf>
    <xf numFmtId="0" fontId="14" fillId="0" borderId="43" xfId="0" applyFont="1" applyFill="1" applyBorder="1" applyAlignment="1" applyProtection="1">
      <alignment horizontal="center" vertical="center"/>
      <protection locked="0"/>
    </xf>
    <xf numFmtId="0" fontId="20" fillId="0" borderId="0" xfId="0" applyFont="1" applyBorder="1" applyAlignment="1" applyProtection="1">
      <alignment horizontal="left" vertical="center"/>
      <protection locked="0"/>
    </xf>
    <xf numFmtId="0" fontId="11" fillId="0" borderId="8" xfId="0" applyFont="1" applyFill="1" applyBorder="1" applyAlignment="1" applyProtection="1">
      <alignment vertical="center"/>
      <protection locked="0"/>
    </xf>
    <xf numFmtId="0" fontId="5" fillId="0" borderId="0" xfId="0" applyFont="1" applyBorder="1" applyAlignment="1" applyProtection="1">
      <alignment horizontal="left" vertical="center"/>
      <protection locked="0"/>
    </xf>
    <xf numFmtId="0" fontId="5" fillId="0" borderId="0" xfId="0" applyFont="1" applyAlignment="1" applyProtection="1">
      <alignment vertical="center" wrapText="1"/>
      <protection locked="0"/>
    </xf>
    <xf numFmtId="0" fontId="21" fillId="3" borderId="5" xfId="0" applyFont="1" applyFill="1" applyBorder="1" applyAlignment="1" applyProtection="1">
      <alignment horizontal="justify" vertical="center"/>
      <protection locked="0"/>
    </xf>
    <xf numFmtId="0" fontId="16" fillId="3" borderId="5" xfId="0" applyFont="1" applyFill="1" applyBorder="1" applyAlignment="1" applyProtection="1">
      <alignment horizontal="justify" vertical="center"/>
      <protection locked="0"/>
    </xf>
    <xf numFmtId="0" fontId="6" fillId="0" borderId="22" xfId="0" applyFont="1" applyFill="1" applyBorder="1" applyAlignment="1" applyProtection="1">
      <alignment horizontal="center" vertical="center" wrapText="1"/>
      <protection locked="0"/>
    </xf>
    <xf numFmtId="0" fontId="6" fillId="0" borderId="45" xfId="0" applyFont="1" applyFill="1" applyBorder="1" applyAlignment="1" applyProtection="1">
      <alignment horizontal="center" vertical="center" wrapText="1"/>
      <protection locked="0"/>
    </xf>
    <xf numFmtId="0" fontId="3" fillId="0" borderId="22"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5" fillId="0" borderId="0" xfId="0" applyFont="1" applyAlignment="1" applyProtection="1">
      <alignment horizontal="center"/>
      <protection locked="0"/>
    </xf>
    <xf numFmtId="4" fontId="3" fillId="0" borderId="15" xfId="0" applyNumberFormat="1" applyFont="1" applyFill="1" applyBorder="1" applyAlignment="1" applyProtection="1">
      <alignment horizontal="center" vertical="top" wrapText="1"/>
      <protection locked="0"/>
    </xf>
    <xf numFmtId="4" fontId="3" fillId="0" borderId="15" xfId="0" applyNumberFormat="1" applyFont="1" applyFill="1" applyBorder="1" applyAlignment="1" applyProtection="1">
      <alignment vertical="top" wrapText="1"/>
      <protection locked="0"/>
    </xf>
    <xf numFmtId="4" fontId="3" fillId="0" borderId="3" xfId="0" applyNumberFormat="1" applyFont="1" applyFill="1" applyBorder="1" applyAlignment="1" applyProtection="1">
      <alignment horizontal="center" vertical="top" wrapText="1"/>
      <protection locked="0"/>
    </xf>
    <xf numFmtId="4" fontId="15" fillId="0" borderId="17" xfId="0" applyNumberFormat="1" applyFont="1" applyBorder="1" applyAlignment="1" applyProtection="1">
      <alignment horizontal="right" vertical="top" wrapText="1"/>
      <protection locked="0"/>
    </xf>
    <xf numFmtId="4" fontId="15" fillId="0" borderId="6" xfId="0" applyNumberFormat="1" applyFont="1" applyBorder="1" applyAlignment="1" applyProtection="1">
      <alignment horizontal="right" vertical="top" wrapText="1"/>
      <protection locked="0"/>
    </xf>
    <xf numFmtId="4" fontId="3" fillId="0" borderId="17" xfId="0" applyNumberFormat="1" applyFont="1" applyBorder="1" applyAlignment="1" applyProtection="1">
      <alignment horizontal="right" vertical="top" wrapText="1"/>
      <protection locked="0"/>
    </xf>
    <xf numFmtId="4" fontId="3" fillId="0" borderId="6" xfId="0" applyNumberFormat="1" applyFont="1" applyBorder="1" applyAlignment="1" applyProtection="1">
      <alignment horizontal="right" vertical="top" wrapText="1"/>
      <protection locked="0"/>
    </xf>
    <xf numFmtId="0" fontId="1" fillId="0" borderId="0" xfId="0" applyFont="1" applyBorder="1" applyAlignment="1" applyProtection="1">
      <alignment horizontal="justify" vertical="top" wrapText="1"/>
      <protection locked="0"/>
    </xf>
    <xf numFmtId="0" fontId="5" fillId="0" borderId="5" xfId="0" applyFont="1" applyBorder="1" applyAlignment="1" applyProtection="1">
      <alignment horizontal="justify" vertical="top" wrapText="1"/>
      <protection locked="0"/>
    </xf>
    <xf numFmtId="4" fontId="1" fillId="0" borderId="17" xfId="0" applyNumberFormat="1" applyFont="1" applyBorder="1" applyAlignment="1" applyProtection="1">
      <alignment horizontal="right" vertical="top" wrapText="1"/>
      <protection locked="0"/>
    </xf>
    <xf numFmtId="4" fontId="1" fillId="0" borderId="6" xfId="0" applyNumberFormat="1" applyFont="1" applyBorder="1" applyAlignment="1" applyProtection="1">
      <alignment horizontal="right" vertical="top" wrapText="1"/>
      <protection locked="0"/>
    </xf>
    <xf numFmtId="0" fontId="5" fillId="0" borderId="0" xfId="0" applyFont="1" applyBorder="1" applyAlignment="1" applyProtection="1">
      <alignment horizontal="justify" vertical="top" wrapText="1"/>
      <protection locked="0"/>
    </xf>
    <xf numFmtId="0" fontId="18" fillId="0" borderId="5"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4" fontId="17" fillId="0" borderId="17" xfId="0" applyNumberFormat="1" applyFont="1" applyBorder="1" applyAlignment="1" applyProtection="1">
      <alignment horizontal="right" vertical="top" wrapText="1"/>
      <protection locked="0"/>
    </xf>
    <xf numFmtId="4" fontId="17" fillId="0" borderId="6" xfId="0" applyNumberFormat="1" applyFont="1" applyBorder="1" applyAlignment="1" applyProtection="1">
      <alignment horizontal="right" vertical="top" wrapText="1"/>
      <protection locked="0"/>
    </xf>
    <xf numFmtId="0" fontId="15" fillId="0" borderId="16" xfId="0" applyFont="1" applyBorder="1" applyAlignment="1" applyProtection="1">
      <alignment horizontal="justify" vertical="top" wrapText="1"/>
      <protection locked="0"/>
    </xf>
    <xf numFmtId="0" fontId="15" fillId="0" borderId="9" xfId="0" applyFont="1" applyBorder="1" applyAlignment="1" applyProtection="1">
      <alignment horizontal="justify" vertical="top" wrapText="1"/>
      <protection locked="0"/>
    </xf>
    <xf numFmtId="4" fontId="3" fillId="0" borderId="17" xfId="0" applyNumberFormat="1" applyFont="1" applyBorder="1" applyAlignment="1" applyProtection="1">
      <alignment horizontal="right" vertical="top" wrapText="1"/>
    </xf>
    <xf numFmtId="4" fontId="3" fillId="0" borderId="6" xfId="0" applyNumberFormat="1" applyFont="1" applyBorder="1" applyAlignment="1" applyProtection="1">
      <alignment horizontal="right" vertical="top" wrapText="1"/>
    </xf>
    <xf numFmtId="4" fontId="15" fillId="0" borderId="17" xfId="0" applyNumberFormat="1" applyFont="1" applyBorder="1" applyAlignment="1" applyProtection="1">
      <alignment horizontal="right" vertical="top" wrapText="1"/>
    </xf>
    <xf numFmtId="4" fontId="15" fillId="0" borderId="6" xfId="0" applyNumberFormat="1" applyFont="1" applyBorder="1" applyAlignment="1" applyProtection="1">
      <alignment horizontal="right" vertical="top" wrapText="1"/>
    </xf>
    <xf numFmtId="0" fontId="3" fillId="0" borderId="1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5" xfId="0" applyFont="1" applyFill="1" applyBorder="1" applyAlignment="1" applyProtection="1">
      <alignment horizontal="center" vertical="center" wrapText="1"/>
      <protection locked="0"/>
    </xf>
    <xf numFmtId="0" fontId="3" fillId="4" borderId="15"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49" fontId="3" fillId="0" borderId="16" xfId="0" applyNumberFormat="1" applyFont="1" applyFill="1" applyBorder="1" applyAlignment="1" applyProtection="1">
      <alignment horizontal="center" vertical="center" wrapText="1"/>
      <protection locked="0"/>
    </xf>
    <xf numFmtId="49" fontId="3" fillId="4" borderId="16" xfId="0" applyNumberFormat="1" applyFont="1" applyFill="1" applyBorder="1" applyAlignment="1" applyProtection="1">
      <alignment horizontal="center" vertical="center" wrapText="1"/>
      <protection locked="0"/>
    </xf>
    <xf numFmtId="49" fontId="3" fillId="0" borderId="18"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1" fillId="0" borderId="5" xfId="0" applyFont="1" applyBorder="1" applyAlignment="1" applyProtection="1">
      <alignment horizontal="justify" vertical="center" wrapText="1"/>
      <protection locked="0"/>
    </xf>
    <xf numFmtId="0" fontId="1" fillId="0" borderId="7" xfId="0" applyFont="1" applyBorder="1" applyAlignment="1" applyProtection="1">
      <alignment horizontal="justify" vertical="center" wrapText="1"/>
      <protection locked="0"/>
    </xf>
    <xf numFmtId="0" fontId="3" fillId="0" borderId="2" xfId="0" applyFont="1" applyBorder="1" applyAlignment="1" applyProtection="1">
      <alignment horizontal="center" vertical="center"/>
      <protection locked="0"/>
    </xf>
    <xf numFmtId="0" fontId="23" fillId="0" borderId="2" xfId="0" applyFont="1" applyBorder="1" applyAlignment="1" applyProtection="1">
      <alignment horizontal="justify" vertical="center" wrapText="1"/>
      <protection locked="0"/>
    </xf>
    <xf numFmtId="0" fontId="10" fillId="0" borderId="2" xfId="0" applyFont="1" applyBorder="1" applyAlignment="1" applyProtection="1">
      <alignment vertical="center" wrapText="1"/>
      <protection locked="0"/>
    </xf>
    <xf numFmtId="0" fontId="3" fillId="0" borderId="0" xfId="0" applyFont="1" applyBorder="1" applyAlignment="1" applyProtection="1">
      <alignment horizontal="center" vertical="center"/>
      <protection locked="0"/>
    </xf>
    <xf numFmtId="0" fontId="23" fillId="0" borderId="0" xfId="0" applyFont="1" applyBorder="1" applyAlignment="1" applyProtection="1">
      <alignment horizontal="justify" vertical="center" wrapText="1"/>
      <protection locked="0"/>
    </xf>
    <xf numFmtId="0" fontId="10" fillId="0" borderId="0" xfId="0" applyFont="1" applyBorder="1" applyAlignment="1" applyProtection="1">
      <alignment vertical="center" wrapText="1"/>
      <protection locked="0"/>
    </xf>
    <xf numFmtId="0" fontId="10" fillId="0" borderId="0" xfId="0" applyFont="1" applyBorder="1" applyAlignment="1" applyProtection="1">
      <alignment horizontal="right" vertical="center" wrapText="1"/>
      <protection locked="0"/>
    </xf>
    <xf numFmtId="49" fontId="3" fillId="0" borderId="13" xfId="0" applyNumberFormat="1" applyFont="1" applyFill="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1" fillId="0" borderId="5"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6" xfId="0" applyFont="1" applyBorder="1" applyAlignment="1" applyProtection="1">
      <alignment horizontal="left" vertical="justify"/>
      <protection locked="0"/>
    </xf>
    <xf numFmtId="0" fontId="1" fillId="0" borderId="6" xfId="0" applyFont="1" applyBorder="1" applyAlignment="1" applyProtection="1">
      <alignment horizontal="justify" vertical="center" wrapText="1"/>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4" fontId="23" fillId="0" borderId="2" xfId="0" applyNumberFormat="1" applyFont="1" applyBorder="1" applyAlignment="1" applyProtection="1">
      <alignment horizontal="right" vertical="center" wrapText="1"/>
      <protection locked="0"/>
    </xf>
    <xf numFmtId="4" fontId="10" fillId="0" borderId="3" xfId="0" applyNumberFormat="1" applyFont="1" applyBorder="1" applyAlignment="1" applyProtection="1">
      <alignment horizontal="right" vertical="center" wrapText="1"/>
      <protection locked="0"/>
    </xf>
    <xf numFmtId="0" fontId="10" fillId="0" borderId="0" xfId="0" applyFont="1" applyAlignment="1" applyProtection="1">
      <alignment vertical="top"/>
      <protection locked="0"/>
    </xf>
    <xf numFmtId="0" fontId="1" fillId="0" borderId="0" xfId="0" applyFont="1" applyAlignment="1" applyProtection="1">
      <alignment vertical="center"/>
      <protection locked="0"/>
    </xf>
    <xf numFmtId="0" fontId="5" fillId="0" borderId="0" xfId="0" applyFont="1" applyAlignment="1" applyProtection="1">
      <alignment vertical="center"/>
    </xf>
    <xf numFmtId="0" fontId="1" fillId="0" borderId="0" xfId="0" applyFont="1" applyFill="1" applyAlignment="1" applyProtection="1">
      <alignment vertical="center"/>
      <protection locked="0"/>
    </xf>
    <xf numFmtId="0" fontId="43" fillId="0" borderId="0" xfId="0" applyFont="1" applyAlignment="1" applyProtection="1">
      <alignment vertical="center"/>
      <protection locked="0"/>
    </xf>
    <xf numFmtId="0" fontId="44" fillId="0" borderId="0" xfId="0" applyFont="1" applyAlignment="1" applyProtection="1">
      <alignment vertical="center"/>
      <protection locked="0"/>
    </xf>
    <xf numFmtId="0" fontId="40" fillId="0" borderId="0" xfId="0" applyFont="1" applyAlignment="1" applyProtection="1">
      <alignment vertical="center"/>
      <protection locked="0"/>
    </xf>
    <xf numFmtId="0" fontId="6" fillId="0" borderId="0" xfId="0" applyFont="1" applyFill="1" applyBorder="1" applyAlignment="1" applyProtection="1">
      <alignment horizontal="left" vertical="top"/>
      <protection locked="0"/>
    </xf>
    <xf numFmtId="0" fontId="6" fillId="4" borderId="2" xfId="0" applyFont="1" applyFill="1" applyBorder="1" applyAlignment="1" applyProtection="1">
      <alignment horizontal="left" vertical="center"/>
      <protection locked="0"/>
    </xf>
    <xf numFmtId="0" fontId="6" fillId="4" borderId="2" xfId="0" applyFont="1" applyFill="1" applyBorder="1" applyAlignment="1" applyProtection="1">
      <alignment horizontal="center" vertical="center" wrapText="1"/>
      <protection locked="0"/>
    </xf>
    <xf numFmtId="0" fontId="5" fillId="4" borderId="0" xfId="0" applyFont="1" applyFill="1" applyAlignment="1" applyProtection="1">
      <alignment vertical="center" wrapText="1"/>
      <protection locked="0"/>
    </xf>
    <xf numFmtId="0" fontId="6" fillId="4" borderId="8" xfId="0" applyFont="1" applyFill="1" applyBorder="1" applyAlignment="1" applyProtection="1">
      <alignment horizontal="left" vertical="center"/>
      <protection locked="0"/>
    </xf>
    <xf numFmtId="0" fontId="6" fillId="4" borderId="8" xfId="0" applyFont="1" applyFill="1" applyBorder="1" applyAlignment="1" applyProtection="1">
      <alignment horizontal="center" vertical="center" wrapText="1"/>
      <protection locked="0"/>
    </xf>
    <xf numFmtId="0" fontId="16" fillId="3" borderId="7" xfId="0" applyFont="1" applyFill="1" applyBorder="1" applyAlignment="1" applyProtection="1">
      <alignment vertical="center"/>
      <protection locked="0"/>
    </xf>
    <xf numFmtId="4" fontId="16" fillId="3" borderId="9" xfId="0" applyNumberFormat="1" applyFont="1" applyFill="1" applyBorder="1" applyAlignment="1" applyProtection="1">
      <alignment horizontal="right" vertical="center"/>
      <protection locked="0"/>
    </xf>
    <xf numFmtId="0" fontId="16" fillId="3" borderId="5" xfId="0" applyFont="1" applyFill="1" applyBorder="1" applyAlignment="1" applyProtection="1">
      <alignment vertical="center"/>
      <protection locked="0"/>
    </xf>
    <xf numFmtId="0" fontId="6" fillId="2" borderId="22" xfId="0" applyFont="1" applyFill="1" applyBorder="1" applyAlignment="1" applyProtection="1">
      <alignment horizontal="center" vertical="center" wrapText="1"/>
      <protection locked="0"/>
    </xf>
    <xf numFmtId="4" fontId="6" fillId="2" borderId="45" xfId="0" applyNumberFormat="1" applyFont="1" applyFill="1" applyBorder="1" applyAlignment="1" applyProtection="1">
      <alignment horizontal="right" vertical="center" wrapText="1"/>
    </xf>
    <xf numFmtId="0" fontId="21" fillId="3" borderId="44" xfId="0" applyFont="1" applyFill="1" applyBorder="1" applyAlignment="1" applyProtection="1">
      <alignment vertical="center"/>
      <protection locked="0"/>
    </xf>
    <xf numFmtId="0" fontId="21" fillId="3" borderId="22" xfId="0" applyFont="1" applyFill="1" applyBorder="1" applyAlignment="1" applyProtection="1">
      <alignment vertical="center"/>
      <protection locked="0"/>
    </xf>
    <xf numFmtId="0" fontId="16" fillId="3" borderId="22" xfId="0" applyFont="1" applyFill="1" applyBorder="1" applyAlignment="1" applyProtection="1">
      <alignment horizontal="justify" vertical="center"/>
      <protection locked="0"/>
    </xf>
    <xf numFmtId="4" fontId="6" fillId="0" borderId="45" xfId="0" applyNumberFormat="1" applyFont="1" applyFill="1" applyBorder="1" applyAlignment="1" applyProtection="1">
      <alignment horizontal="right" vertical="center" wrapText="1"/>
    </xf>
    <xf numFmtId="43" fontId="6" fillId="0" borderId="17" xfId="0" applyNumberFormat="1" applyFont="1" applyFill="1" applyBorder="1" applyAlignment="1" applyProtection="1">
      <alignment horizontal="right" vertical="center" wrapText="1"/>
      <protection locked="0"/>
    </xf>
    <xf numFmtId="43" fontId="6" fillId="0" borderId="16" xfId="0" applyNumberFormat="1" applyFont="1" applyFill="1" applyBorder="1" applyAlignment="1" applyProtection="1">
      <alignment horizontal="right" vertical="center" wrapText="1"/>
      <protection locked="0"/>
    </xf>
    <xf numFmtId="0" fontId="6" fillId="0" borderId="17" xfId="0" applyFont="1" applyFill="1" applyBorder="1" applyAlignment="1" applyProtection="1">
      <alignment horizontal="right" vertical="center" wrapText="1"/>
      <protection locked="0"/>
    </xf>
    <xf numFmtId="0" fontId="16" fillId="3" borderId="17" xfId="0" applyFont="1" applyFill="1" applyBorder="1" applyAlignment="1" applyProtection="1">
      <alignment horizontal="right" vertical="center"/>
      <protection locked="0"/>
    </xf>
    <xf numFmtId="0" fontId="21" fillId="2" borderId="44" xfId="0" applyFont="1" applyFill="1" applyBorder="1" applyAlignment="1" applyProtection="1">
      <alignment vertical="center"/>
      <protection locked="0"/>
    </xf>
    <xf numFmtId="0" fontId="21" fillId="2" borderId="22" xfId="0" applyFont="1" applyFill="1" applyBorder="1" applyAlignment="1" applyProtection="1">
      <alignment vertical="center"/>
      <protection locked="0"/>
    </xf>
    <xf numFmtId="0" fontId="16" fillId="2" borderId="22" xfId="0" applyFont="1" applyFill="1" applyBorder="1" applyAlignment="1" applyProtection="1">
      <alignment horizontal="justify" vertical="center"/>
      <protection locked="0"/>
    </xf>
    <xf numFmtId="0" fontId="6" fillId="4" borderId="1" xfId="0" applyFont="1" applyFill="1" applyBorder="1" applyAlignment="1" applyProtection="1">
      <alignment horizontal="left" vertical="center"/>
      <protection locked="0"/>
    </xf>
    <xf numFmtId="0" fontId="6" fillId="4" borderId="7" xfId="0" applyFont="1" applyFill="1" applyBorder="1" applyAlignment="1" applyProtection="1">
      <alignment horizontal="left" vertical="center"/>
      <protection locked="0"/>
    </xf>
    <xf numFmtId="4" fontId="6" fillId="4" borderId="3" xfId="0" applyNumberFormat="1" applyFont="1" applyFill="1" applyBorder="1" applyAlignment="1" applyProtection="1">
      <alignment horizontal="right" vertical="center" wrapText="1"/>
      <protection locked="0"/>
    </xf>
    <xf numFmtId="4" fontId="6" fillId="4" borderId="9" xfId="0" applyNumberFormat="1" applyFont="1" applyFill="1" applyBorder="1" applyAlignment="1" applyProtection="1">
      <alignment horizontal="right" vertical="center" wrapText="1"/>
      <protection locked="0"/>
    </xf>
    <xf numFmtId="0" fontId="2" fillId="3" borderId="2" xfId="0" applyFont="1" applyFill="1" applyBorder="1" applyAlignment="1" applyProtection="1">
      <alignment horizontal="justify" vertical="center"/>
      <protection locked="0"/>
    </xf>
    <xf numFmtId="0" fontId="6" fillId="0" borderId="2" xfId="0" applyFont="1" applyFill="1" applyBorder="1" applyAlignment="1" applyProtection="1">
      <alignment horizontal="center" vertical="center" wrapText="1"/>
      <protection locked="0"/>
    </xf>
    <xf numFmtId="4" fontId="16" fillId="3" borderId="3" xfId="0" applyNumberFormat="1" applyFont="1" applyFill="1" applyBorder="1" applyAlignment="1" applyProtection="1">
      <alignment horizontal="right" vertical="center"/>
      <protection locked="0"/>
    </xf>
    <xf numFmtId="0" fontId="29" fillId="3" borderId="8" xfId="0" applyFont="1" applyFill="1" applyBorder="1" applyAlignment="1" applyProtection="1">
      <alignment horizontal="justify" vertical="center"/>
      <protection locked="0"/>
    </xf>
    <xf numFmtId="0" fontId="6" fillId="0" borderId="8"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justify" vertical="center"/>
      <protection locked="0"/>
    </xf>
    <xf numFmtId="0" fontId="2" fillId="3" borderId="14" xfId="0" applyFont="1" applyFill="1" applyBorder="1" applyAlignment="1" applyProtection="1">
      <alignment horizontal="justify" vertical="center"/>
      <protection locked="0"/>
    </xf>
    <xf numFmtId="0" fontId="19" fillId="3" borderId="14" xfId="0" applyFont="1" applyFill="1" applyBorder="1" applyAlignment="1" applyProtection="1">
      <alignment horizontal="justify" vertical="center"/>
      <protection locked="0"/>
    </xf>
    <xf numFmtId="0" fontId="2" fillId="3" borderId="28" xfId="0" applyFont="1" applyFill="1" applyBorder="1" applyAlignment="1" applyProtection="1">
      <alignment horizontal="justify" vertical="center"/>
      <protection locked="0"/>
    </xf>
    <xf numFmtId="0" fontId="19" fillId="3" borderId="28" xfId="0" applyFont="1" applyFill="1" applyBorder="1" applyAlignment="1" applyProtection="1">
      <alignment horizontal="justify" vertical="center"/>
      <protection locked="0"/>
    </xf>
    <xf numFmtId="0" fontId="16" fillId="3" borderId="1" xfId="0" applyFont="1" applyFill="1" applyBorder="1" applyAlignment="1" applyProtection="1">
      <alignment horizontal="justify" vertical="center"/>
      <protection locked="0"/>
    </xf>
    <xf numFmtId="0" fontId="21" fillId="3" borderId="7" xfId="0" applyFont="1" applyFill="1" applyBorder="1" applyAlignment="1" applyProtection="1">
      <alignment horizontal="left" vertical="center"/>
      <protection locked="0"/>
    </xf>
    <xf numFmtId="0" fontId="5" fillId="0" borderId="0" xfId="0" applyFont="1" applyFill="1" applyAlignment="1" applyProtection="1">
      <alignment vertical="center"/>
      <protection locked="0"/>
    </xf>
    <xf numFmtId="0" fontId="20"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Alignment="1" applyProtection="1">
      <alignment vertical="center"/>
      <protection locked="0"/>
    </xf>
    <xf numFmtId="49" fontId="3" fillId="0" borderId="0" xfId="0" applyNumberFormat="1" applyFont="1" applyFill="1" applyAlignment="1" applyProtection="1">
      <alignment vertical="center"/>
      <protection locked="0"/>
    </xf>
    <xf numFmtId="0" fontId="45" fillId="0" borderId="0" xfId="0" applyFont="1" applyFill="1" applyAlignment="1" applyProtection="1">
      <alignment vertical="center"/>
      <protection locked="0"/>
    </xf>
    <xf numFmtId="0" fontId="22" fillId="0" borderId="0" xfId="0" applyFont="1" applyFill="1" applyAlignment="1" applyProtection="1">
      <alignment vertical="center"/>
      <protection locked="0"/>
    </xf>
    <xf numFmtId="0" fontId="45" fillId="0" borderId="0" xfId="0" applyFont="1" applyFill="1" applyAlignment="1" applyProtection="1">
      <alignment horizontal="justify"/>
      <protection locked="0"/>
    </xf>
    <xf numFmtId="0" fontId="46" fillId="0" borderId="0" xfId="0" applyFont="1" applyFill="1" applyAlignment="1" applyProtection="1">
      <alignment horizontal="right"/>
      <protection locked="0"/>
    </xf>
    <xf numFmtId="0" fontId="1" fillId="0" borderId="48" xfId="0" applyFont="1" applyFill="1" applyBorder="1" applyAlignment="1" applyProtection="1">
      <alignment horizontal="left" vertical="center" wrapText="1" indent="2"/>
      <protection locked="0"/>
    </xf>
    <xf numFmtId="0" fontId="1" fillId="0" borderId="49" xfId="0" applyFont="1" applyFill="1" applyBorder="1" applyAlignment="1" applyProtection="1">
      <alignment horizontal="justify" vertical="center" wrapText="1"/>
      <protection locked="0"/>
    </xf>
    <xf numFmtId="49" fontId="25" fillId="0" borderId="16" xfId="0" applyNumberFormat="1" applyFont="1" applyFill="1" applyBorder="1" applyAlignment="1">
      <alignment horizontal="center" vertical="center" wrapText="1"/>
    </xf>
    <xf numFmtId="49" fontId="25" fillId="0" borderId="18" xfId="0" applyNumberFormat="1" applyFont="1" applyFill="1" applyBorder="1" applyAlignment="1">
      <alignment horizontal="center" vertical="center" wrapText="1"/>
    </xf>
    <xf numFmtId="0" fontId="6" fillId="0" borderId="0" xfId="0" applyFont="1" applyFill="1" applyAlignment="1" applyProtection="1">
      <alignment vertical="center"/>
      <protection locked="0"/>
    </xf>
    <xf numFmtId="49" fontId="25" fillId="0" borderId="16" xfId="0" applyNumberFormat="1" applyFont="1" applyFill="1" applyBorder="1" applyAlignment="1" applyProtection="1">
      <alignment horizontal="center" vertical="center" wrapText="1"/>
      <protection locked="0"/>
    </xf>
    <xf numFmtId="49" fontId="25" fillId="0" borderId="18" xfId="0" applyNumberFormat="1" applyFont="1" applyFill="1" applyBorder="1" applyAlignment="1" applyProtection="1">
      <alignment horizontal="center" vertical="center" wrapText="1"/>
      <protection locked="0"/>
    </xf>
    <xf numFmtId="49" fontId="6" fillId="0" borderId="0" xfId="0" applyNumberFormat="1" applyFont="1" applyFill="1" applyAlignment="1" applyProtection="1">
      <alignment vertical="center"/>
      <protection locked="0"/>
    </xf>
    <xf numFmtId="0" fontId="22" fillId="0" borderId="48" xfId="0" applyFont="1" applyFill="1" applyBorder="1" applyAlignment="1" applyProtection="1">
      <alignment horizontal="justify" vertical="center" wrapText="1"/>
      <protection locked="0"/>
    </xf>
    <xf numFmtId="0" fontId="3" fillId="0" borderId="44" xfId="0" applyFont="1" applyFill="1" applyBorder="1" applyAlignment="1" applyProtection="1">
      <alignment horizontal="justify" vertical="center" wrapText="1"/>
      <protection locked="0"/>
    </xf>
    <xf numFmtId="49" fontId="25" fillId="0" borderId="0" xfId="0" applyNumberFormat="1" applyFont="1" applyFill="1" applyAlignment="1" applyProtection="1">
      <alignment vertical="center"/>
      <protection locked="0"/>
    </xf>
    <xf numFmtId="0" fontId="6" fillId="0" borderId="15"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1" fillId="0" borderId="48" xfId="0" applyFont="1" applyFill="1" applyBorder="1" applyAlignment="1" applyProtection="1">
      <alignment horizontal="justify" vertical="center" wrapText="1"/>
      <protection locked="0"/>
    </xf>
    <xf numFmtId="4" fontId="1" fillId="0" borderId="17" xfId="0" applyNumberFormat="1" applyFont="1" applyFill="1" applyBorder="1" applyAlignment="1" applyProtection="1">
      <alignment horizontal="justify" vertical="center" wrapText="1"/>
    </xf>
    <xf numFmtId="4" fontId="1" fillId="0" borderId="47" xfId="0" applyNumberFormat="1" applyFont="1" applyFill="1" applyBorder="1" applyAlignment="1" applyProtection="1">
      <alignment horizontal="justify" vertical="center" wrapText="1"/>
    </xf>
    <xf numFmtId="4" fontId="1" fillId="0" borderId="17" xfId="0" applyNumberFormat="1" applyFont="1" applyFill="1" applyBorder="1" applyAlignment="1" applyProtection="1">
      <alignment horizontal="right" vertical="center" wrapText="1"/>
      <protection locked="0"/>
    </xf>
    <xf numFmtId="4" fontId="1" fillId="0" borderId="17" xfId="0" applyNumberFormat="1" applyFont="1" applyFill="1" applyBorder="1" applyAlignment="1" applyProtection="1">
      <alignment horizontal="right" vertical="center" wrapText="1"/>
    </xf>
    <xf numFmtId="0" fontId="11" fillId="0" borderId="15" xfId="0"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4" fontId="1" fillId="0" borderId="47" xfId="0" applyNumberFormat="1" applyFont="1" applyFill="1" applyBorder="1" applyAlignment="1" applyProtection="1">
      <alignment horizontal="right" vertical="center" wrapText="1"/>
    </xf>
    <xf numFmtId="0" fontId="1" fillId="0" borderId="48" xfId="0" applyFont="1" applyFill="1" applyBorder="1" applyAlignment="1" applyProtection="1">
      <alignment horizontal="left" vertical="center" wrapText="1" indent="1"/>
      <protection locked="0"/>
    </xf>
    <xf numFmtId="4" fontId="6" fillId="0" borderId="0" xfId="0" applyNumberFormat="1" applyFont="1" applyFill="1" applyBorder="1" applyAlignment="1" applyProtection="1">
      <alignment horizontal="right" vertical="top"/>
      <protection locked="0"/>
    </xf>
    <xf numFmtId="4" fontId="11" fillId="0" borderId="15" xfId="0" applyNumberFormat="1" applyFont="1" applyFill="1" applyBorder="1" applyAlignment="1" applyProtection="1">
      <alignment horizontal="center" vertical="center" wrapText="1"/>
      <protection locked="0"/>
    </xf>
    <xf numFmtId="4" fontId="11" fillId="0" borderId="23" xfId="0" applyNumberFormat="1" applyFont="1" applyFill="1" applyBorder="1" applyAlignment="1" applyProtection="1">
      <alignment horizontal="center" vertical="center" wrapText="1"/>
      <protection locked="0"/>
    </xf>
    <xf numFmtId="4" fontId="11" fillId="0" borderId="16" xfId="0" applyNumberFormat="1" applyFont="1" applyFill="1" applyBorder="1" applyAlignment="1" applyProtection="1">
      <alignment horizontal="center" vertical="center" wrapText="1"/>
      <protection locked="0"/>
    </xf>
    <xf numFmtId="4" fontId="11" fillId="0" borderId="18" xfId="0" applyNumberFormat="1" applyFont="1" applyFill="1" applyBorder="1" applyAlignment="1" applyProtection="1">
      <alignment horizontal="center" vertical="center" wrapText="1"/>
      <protection locked="0"/>
    </xf>
    <xf numFmtId="0" fontId="5" fillId="0" borderId="48" xfId="0" applyFont="1" applyFill="1" applyBorder="1" applyAlignment="1" applyProtection="1">
      <alignment horizontal="justify" vertical="center" wrapText="1"/>
      <protection locked="0"/>
    </xf>
    <xf numFmtId="4" fontId="5" fillId="0" borderId="17" xfId="0" applyNumberFormat="1" applyFont="1" applyFill="1" applyBorder="1" applyAlignment="1" applyProtection="1">
      <alignment horizontal="justify" vertical="center" wrapText="1"/>
      <protection locked="0"/>
    </xf>
    <xf numFmtId="4" fontId="5" fillId="0" borderId="47" xfId="0" applyNumberFormat="1" applyFont="1" applyFill="1" applyBorder="1" applyAlignment="1" applyProtection="1">
      <alignment horizontal="justify" vertical="center" wrapText="1"/>
      <protection locked="0"/>
    </xf>
    <xf numFmtId="0" fontId="3" fillId="0" borderId="0" xfId="0" applyFont="1" applyFill="1" applyBorder="1" applyAlignment="1">
      <alignment horizontal="left" vertical="top"/>
    </xf>
    <xf numFmtId="49" fontId="25" fillId="4" borderId="16" xfId="0" applyNumberFormat="1" applyFont="1" applyFill="1" applyBorder="1" applyAlignment="1">
      <alignment horizontal="center" vertical="center" wrapText="1"/>
    </xf>
    <xf numFmtId="0" fontId="5" fillId="0" borderId="0" xfId="0" applyFont="1" applyProtection="1"/>
    <xf numFmtId="0" fontId="10" fillId="4" borderId="0" xfId="0" applyFont="1" applyFill="1" applyBorder="1" applyAlignment="1" applyProtection="1">
      <alignment horizontal="right"/>
      <protection locked="0"/>
    </xf>
    <xf numFmtId="0" fontId="32" fillId="0" borderId="0" xfId="0" applyFont="1" applyAlignment="1" applyProtection="1">
      <protection locked="0"/>
    </xf>
    <xf numFmtId="0" fontId="33" fillId="0" borderId="26"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0" fontId="33" fillId="0" borderId="23" xfId="0" applyFont="1" applyBorder="1" applyAlignment="1" applyProtection="1">
      <alignment horizontal="center" vertical="center" wrapText="1"/>
      <protection locked="0"/>
    </xf>
    <xf numFmtId="0" fontId="33" fillId="0" borderId="24"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4" fontId="33" fillId="0" borderId="17" xfId="0" applyNumberFormat="1" applyFont="1" applyBorder="1" applyAlignment="1" applyProtection="1">
      <alignment horizontal="right" vertical="center"/>
      <protection locked="0"/>
    </xf>
    <xf numFmtId="4" fontId="33" fillId="0" borderId="14" xfId="0" applyNumberFormat="1" applyFont="1" applyBorder="1" applyAlignment="1" applyProtection="1">
      <alignment horizontal="right" vertical="center"/>
      <protection locked="0"/>
    </xf>
    <xf numFmtId="4" fontId="33" fillId="0" borderId="6" xfId="0" applyNumberFormat="1" applyFont="1" applyBorder="1" applyAlignment="1" applyProtection="1">
      <alignment horizontal="right" vertical="center"/>
      <protection locked="0"/>
    </xf>
    <xf numFmtId="0" fontId="33" fillId="0" borderId="14" xfId="0" applyFont="1" applyBorder="1" applyAlignment="1" applyProtection="1">
      <alignment horizontal="left" vertical="center"/>
      <protection locked="0"/>
    </xf>
    <xf numFmtId="0" fontId="33" fillId="0" borderId="14" xfId="0" applyFont="1" applyBorder="1" applyAlignment="1" applyProtection="1">
      <alignment horizontal="left" vertical="center" wrapText="1"/>
      <protection locked="0"/>
    </xf>
    <xf numFmtId="0" fontId="5" fillId="0" borderId="0" xfId="0" applyFont="1" applyAlignment="1" applyProtection="1">
      <alignment wrapText="1"/>
      <protection locked="0"/>
    </xf>
    <xf numFmtId="0" fontId="33" fillId="0" borderId="10" xfId="0" applyFont="1" applyBorder="1" applyAlignment="1" applyProtection="1">
      <alignment horizontal="center" vertical="center"/>
      <protection locked="0"/>
    </xf>
    <xf numFmtId="0" fontId="33" fillId="0" borderId="21" xfId="0" applyFont="1" applyBorder="1" applyAlignment="1" applyProtection="1">
      <alignment vertical="center"/>
      <protection locked="0"/>
    </xf>
    <xf numFmtId="0" fontId="34" fillId="0" borderId="0" xfId="0" applyFont="1" applyProtection="1">
      <protection locked="0"/>
    </xf>
    <xf numFmtId="4" fontId="33" fillId="0" borderId="17" xfId="0" applyNumberFormat="1" applyFont="1" applyBorder="1" applyAlignment="1" applyProtection="1">
      <alignment horizontal="right" vertical="center"/>
    </xf>
    <xf numFmtId="4" fontId="33" fillId="0" borderId="14" xfId="0" applyNumberFormat="1" applyFont="1" applyBorder="1" applyAlignment="1" applyProtection="1">
      <alignment horizontal="right" vertical="center"/>
    </xf>
    <xf numFmtId="4" fontId="33" fillId="0" borderId="6" xfId="0" applyNumberFormat="1" applyFont="1" applyBorder="1" applyAlignment="1" applyProtection="1">
      <alignment horizontal="right" vertical="center"/>
    </xf>
    <xf numFmtId="4" fontId="33" fillId="0" borderId="22" xfId="0" applyNumberFormat="1" applyFont="1" applyBorder="1" applyAlignment="1" applyProtection="1">
      <alignment horizontal="right" vertical="center"/>
    </xf>
    <xf numFmtId="4" fontId="33" fillId="0" borderId="45" xfId="0" applyNumberFormat="1" applyFont="1" applyBorder="1" applyAlignment="1" applyProtection="1">
      <alignment horizontal="right" vertical="center"/>
    </xf>
    <xf numFmtId="0" fontId="20" fillId="0" borderId="0" xfId="0" applyFont="1" applyAlignment="1" applyProtection="1">
      <protection locked="0"/>
    </xf>
    <xf numFmtId="0" fontId="33" fillId="0" borderId="17"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4" fontId="33" fillId="0" borderId="12" xfId="0" applyNumberFormat="1" applyFont="1" applyBorder="1" applyAlignment="1" applyProtection="1">
      <alignment horizontal="right" vertical="center"/>
    </xf>
    <xf numFmtId="0" fontId="0" fillId="0" borderId="0" xfId="0" applyProtection="1">
      <protection locked="0"/>
    </xf>
    <xf numFmtId="0" fontId="11" fillId="0" borderId="8" xfId="0" applyFont="1" applyFill="1" applyBorder="1" applyAlignment="1" applyProtection="1">
      <alignment vertical="center" wrapText="1"/>
      <protection locked="0"/>
    </xf>
    <xf numFmtId="49" fontId="25" fillId="4" borderId="16" xfId="0" applyNumberFormat="1" applyFont="1" applyFill="1" applyBorder="1" applyAlignment="1" applyProtection="1">
      <alignment horizontal="center" vertical="center" wrapText="1"/>
      <protection locked="0"/>
    </xf>
    <xf numFmtId="4" fontId="5" fillId="0" borderId="17" xfId="0" applyNumberFormat="1" applyFont="1" applyBorder="1" applyAlignment="1" applyProtection="1">
      <alignment horizontal="right" vertical="center" wrapText="1"/>
      <protection locked="0"/>
    </xf>
    <xf numFmtId="0" fontId="31" fillId="0" borderId="5" xfId="0" applyFont="1" applyBorder="1" applyAlignment="1" applyProtection="1">
      <alignment vertical="center" wrapText="1"/>
      <protection locked="0"/>
    </xf>
    <xf numFmtId="4" fontId="31" fillId="0" borderId="17" xfId="0" applyNumberFormat="1" applyFont="1" applyBorder="1" applyAlignment="1" applyProtection="1">
      <alignment horizontal="right" vertical="center" wrapText="1"/>
      <protection locked="0"/>
    </xf>
    <xf numFmtId="0" fontId="48" fillId="0" borderId="0" xfId="0" applyFont="1" applyProtection="1">
      <protection locked="0"/>
    </xf>
    <xf numFmtId="0" fontId="11" fillId="0" borderId="48" xfId="0" applyFont="1" applyBorder="1" applyAlignment="1" applyProtection="1">
      <alignment vertical="top" wrapText="1"/>
      <protection locked="0"/>
    </xf>
    <xf numFmtId="0" fontId="39" fillId="0" borderId="0" xfId="0" applyFont="1" applyProtection="1">
      <protection locked="0"/>
    </xf>
    <xf numFmtId="0" fontId="0" fillId="0" borderId="0" xfId="0" applyFont="1" applyProtection="1">
      <protection locked="0"/>
    </xf>
    <xf numFmtId="0" fontId="0" fillId="0" borderId="0" xfId="0" applyAlignment="1" applyProtection="1">
      <alignment wrapText="1"/>
      <protection locked="0"/>
    </xf>
    <xf numFmtId="0" fontId="5" fillId="0" borderId="48" xfId="0" applyFont="1" applyBorder="1" applyAlignment="1" applyProtection="1">
      <alignment horizontal="justify" vertical="center" wrapText="1"/>
      <protection locked="0"/>
    </xf>
    <xf numFmtId="0" fontId="22" fillId="0" borderId="48" xfId="0" applyFont="1" applyBorder="1" applyAlignment="1" applyProtection="1">
      <alignment horizontal="left" vertical="center" wrapText="1" indent="4"/>
      <protection locked="0"/>
    </xf>
    <xf numFmtId="0" fontId="3" fillId="0" borderId="44" xfId="0" applyFont="1" applyBorder="1" applyAlignment="1" applyProtection="1">
      <alignment horizontal="justify" vertical="center" wrapText="1"/>
      <protection locked="0"/>
    </xf>
    <xf numFmtId="0" fontId="6" fillId="0" borderId="0" xfId="0" applyFont="1" applyFill="1" applyBorder="1" applyAlignment="1">
      <alignment horizontal="right"/>
    </xf>
    <xf numFmtId="0" fontId="32" fillId="0" borderId="0" xfId="0" applyFont="1" applyFill="1" applyBorder="1" applyAlignment="1">
      <alignment horizontal="center"/>
    </xf>
    <xf numFmtId="0" fontId="5" fillId="0" borderId="0" xfId="0" applyFont="1" applyFill="1" applyAlignment="1"/>
    <xf numFmtId="0" fontId="5" fillId="0" borderId="0" xfId="0" applyFont="1" applyFill="1" applyAlignment="1">
      <alignment horizontal="center" vertical="center"/>
    </xf>
    <xf numFmtId="0" fontId="33" fillId="0" borderId="0" xfId="0" applyFont="1" applyFill="1" applyBorder="1" applyAlignment="1">
      <alignment horizontal="center" vertical="center"/>
    </xf>
    <xf numFmtId="0" fontId="33" fillId="0" borderId="5" xfId="0" applyFont="1" applyFill="1" applyBorder="1" applyAlignment="1">
      <alignment horizontal="left" vertical="center"/>
    </xf>
    <xf numFmtId="0" fontId="33" fillId="0" borderId="6" xfId="0" applyFont="1" applyFill="1" applyBorder="1" applyAlignment="1">
      <alignment horizontal="center" vertical="center"/>
    </xf>
    <xf numFmtId="0" fontId="5" fillId="0" borderId="0" xfId="0" applyFont="1" applyFill="1" applyBorder="1" applyAlignment="1">
      <alignment horizontal="center" vertical="center"/>
    </xf>
    <xf numFmtId="0" fontId="33" fillId="0" borderId="5" xfId="0" applyFont="1" applyFill="1" applyBorder="1" applyAlignment="1">
      <alignment horizontal="center" vertical="center"/>
    </xf>
    <xf numFmtId="0" fontId="5" fillId="0" borderId="5" xfId="0" applyFont="1" applyFill="1" applyBorder="1" applyAlignment="1"/>
    <xf numFmtId="0" fontId="5" fillId="0" borderId="6" xfId="0" applyFont="1" applyFill="1" applyBorder="1"/>
    <xf numFmtId="0" fontId="5" fillId="0" borderId="7" xfId="0" applyFont="1" applyFill="1" applyBorder="1" applyAlignment="1"/>
    <xf numFmtId="0" fontId="5" fillId="0" borderId="8" xfId="0" applyFont="1" applyFill="1" applyBorder="1"/>
    <xf numFmtId="0" fontId="36" fillId="0" borderId="0" xfId="0" applyFont="1" applyFill="1" applyAlignment="1"/>
    <xf numFmtId="0" fontId="34" fillId="0" borderId="0" xfId="0" applyFont="1" applyFill="1" applyBorder="1" applyAlignment="1">
      <alignment vertical="center" wrapText="1"/>
    </xf>
    <xf numFmtId="0" fontId="33" fillId="0" borderId="0" xfId="0" applyFont="1" applyFill="1" applyBorder="1" applyAlignment="1">
      <alignment horizontal="left" vertical="center"/>
    </xf>
    <xf numFmtId="0" fontId="33" fillId="0" borderId="3" xfId="0" applyFont="1" applyFill="1" applyBorder="1" applyAlignment="1">
      <alignment horizontal="center" vertical="center"/>
    </xf>
    <xf numFmtId="0" fontId="6" fillId="4" borderId="0" xfId="0" applyFont="1" applyFill="1" applyBorder="1" applyAlignment="1" applyProtection="1">
      <alignment horizontal="right"/>
      <protection locked="0"/>
    </xf>
    <xf numFmtId="0" fontId="33" fillId="0" borderId="5" xfId="0" applyFont="1" applyBorder="1" applyAlignment="1" applyProtection="1">
      <alignment horizontal="left" vertical="center"/>
      <protection locked="0"/>
    </xf>
    <xf numFmtId="4" fontId="33" fillId="0" borderId="47" xfId="0" applyNumberFormat="1" applyFont="1" applyBorder="1" applyAlignment="1" applyProtection="1">
      <alignment horizontal="right" vertical="center"/>
      <protection locked="0"/>
    </xf>
    <xf numFmtId="0" fontId="34" fillId="0" borderId="14" xfId="0" applyFont="1" applyBorder="1" applyAlignment="1" applyProtection="1">
      <alignment horizontal="left" vertical="center"/>
      <protection locked="0"/>
    </xf>
    <xf numFmtId="0" fontId="33" fillId="2" borderId="15" xfId="0" applyFont="1" applyFill="1" applyBorder="1" applyAlignment="1" applyProtection="1">
      <alignment horizontal="center" vertical="center"/>
      <protection locked="0"/>
    </xf>
    <xf numFmtId="0" fontId="33" fillId="2" borderId="16" xfId="0" applyFont="1" applyFill="1" applyBorder="1" applyAlignment="1" applyProtection="1">
      <alignment horizontal="center" vertical="center"/>
      <protection locked="0"/>
    </xf>
    <xf numFmtId="0" fontId="33" fillId="0" borderId="9" xfId="0" applyFont="1" applyBorder="1" applyAlignment="1" applyProtection="1">
      <alignment horizontal="center" vertical="center"/>
      <protection locked="0"/>
    </xf>
    <xf numFmtId="4" fontId="33" fillId="0" borderId="47" xfId="0" applyNumberFormat="1" applyFont="1" applyBorder="1" applyAlignment="1" applyProtection="1">
      <alignment horizontal="right" vertical="center"/>
    </xf>
    <xf numFmtId="0" fontId="49" fillId="0" borderId="0" xfId="0" applyFont="1"/>
    <xf numFmtId="0" fontId="11" fillId="0" borderId="0" xfId="0" applyFont="1" applyFill="1" applyBorder="1" applyAlignment="1" applyProtection="1">
      <alignment vertical="center"/>
      <protection locked="0"/>
    </xf>
    <xf numFmtId="4" fontId="6" fillId="0" borderId="8" xfId="0" applyNumberFormat="1" applyFont="1" applyFill="1" applyBorder="1" applyAlignment="1" applyProtection="1">
      <alignment horizontal="left" vertical="top"/>
      <protection locked="0"/>
    </xf>
    <xf numFmtId="0" fontId="6" fillId="0" borderId="44" xfId="0" applyFont="1" applyFill="1" applyBorder="1" applyAlignment="1" applyProtection="1">
      <alignment vertical="center"/>
      <protection locked="0"/>
    </xf>
    <xf numFmtId="0" fontId="5" fillId="0" borderId="0" xfId="0" applyFont="1" applyFill="1" applyAlignment="1" applyProtection="1">
      <alignment vertical="center" wrapText="1"/>
      <protection locked="0"/>
    </xf>
    <xf numFmtId="0" fontId="6" fillId="0" borderId="2"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21" fillId="0" borderId="46" xfId="0" applyFont="1" applyFill="1" applyBorder="1" applyAlignment="1" applyProtection="1">
      <alignment vertical="center"/>
      <protection locked="0"/>
    </xf>
    <xf numFmtId="0" fontId="2" fillId="0" borderId="48" xfId="0" applyFont="1" applyFill="1" applyBorder="1" applyAlignment="1" applyProtection="1">
      <alignment horizontal="left" vertical="center" indent="3"/>
      <protection locked="0"/>
    </xf>
    <xf numFmtId="0" fontId="2" fillId="0" borderId="2" xfId="0" applyFont="1" applyFill="1" applyBorder="1" applyAlignment="1" applyProtection="1">
      <alignment horizontal="justify" vertical="center"/>
      <protection locked="0"/>
    </xf>
    <xf numFmtId="0" fontId="21" fillId="0" borderId="8" xfId="0" applyFont="1" applyFill="1" applyBorder="1" applyAlignment="1" applyProtection="1">
      <alignment horizontal="left" vertical="center"/>
      <protection locked="0"/>
    </xf>
    <xf numFmtId="0" fontId="2" fillId="0" borderId="49" xfId="0" applyFont="1" applyFill="1" applyBorder="1" applyAlignment="1" applyProtection="1">
      <alignment horizontal="justify" vertical="center"/>
      <protection locked="0"/>
    </xf>
    <xf numFmtId="4" fontId="5" fillId="0" borderId="0" xfId="0" applyNumberFormat="1" applyFont="1" applyFill="1" applyAlignment="1" applyProtection="1">
      <alignment horizontal="right" vertical="center"/>
      <protection locked="0"/>
    </xf>
    <xf numFmtId="0" fontId="5" fillId="0" borderId="0" xfId="0" applyFont="1" applyFill="1" applyAlignment="1" applyProtection="1">
      <alignment vertical="center" wrapText="1"/>
    </xf>
    <xf numFmtId="4" fontId="6" fillId="0" borderId="2" xfId="0" applyNumberFormat="1" applyFont="1" applyFill="1" applyBorder="1" applyAlignment="1" applyProtection="1">
      <alignment horizontal="right" vertical="center" wrapText="1"/>
    </xf>
    <xf numFmtId="4" fontId="6" fillId="0" borderId="8" xfId="0" applyNumberFormat="1" applyFont="1" applyFill="1" applyBorder="1" applyAlignment="1" applyProtection="1">
      <alignment horizontal="right" vertical="center" wrapText="1"/>
    </xf>
    <xf numFmtId="4" fontId="6" fillId="2" borderId="23" xfId="0" applyNumberFormat="1" applyFont="1" applyFill="1" applyBorder="1" applyAlignment="1" applyProtection="1">
      <alignment horizontal="right" vertical="center" wrapText="1"/>
    </xf>
    <xf numFmtId="0" fontId="5" fillId="0" borderId="0" xfId="0" applyFont="1" applyFill="1" applyAlignment="1" applyProtection="1">
      <alignment vertical="center"/>
    </xf>
    <xf numFmtId="4" fontId="16" fillId="0" borderId="47" xfId="0" applyNumberFormat="1" applyFont="1" applyFill="1" applyBorder="1" applyAlignment="1" applyProtection="1">
      <alignment horizontal="right" vertical="center"/>
    </xf>
    <xf numFmtId="4" fontId="16" fillId="0" borderId="18" xfId="0" applyNumberFormat="1" applyFont="1" applyFill="1" applyBorder="1" applyAlignment="1" applyProtection="1">
      <alignment horizontal="right" vertical="center"/>
    </xf>
    <xf numFmtId="4" fontId="16" fillId="0" borderId="2" xfId="0" applyNumberFormat="1" applyFont="1" applyFill="1" applyBorder="1" applyAlignment="1" applyProtection="1">
      <alignment horizontal="right" vertical="center"/>
    </xf>
    <xf numFmtId="4" fontId="16" fillId="0" borderId="8" xfId="0" applyNumberFormat="1" applyFont="1" applyFill="1" applyBorder="1" applyAlignment="1" applyProtection="1">
      <alignment horizontal="right" vertical="center"/>
    </xf>
    <xf numFmtId="0" fontId="20" fillId="0" borderId="0" xfId="0" applyFont="1" applyBorder="1" applyAlignment="1" applyProtection="1">
      <alignment horizontal="left" vertical="center"/>
    </xf>
    <xf numFmtId="0" fontId="47" fillId="0" borderId="0" xfId="0" applyFont="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Alignment="1" applyProtection="1">
      <alignment vertical="center"/>
    </xf>
    <xf numFmtId="0" fontId="6" fillId="0" borderId="0" xfId="0" applyFont="1" applyFill="1" applyAlignment="1" applyProtection="1">
      <alignment vertical="center" wrapText="1"/>
    </xf>
    <xf numFmtId="4" fontId="16" fillId="3" borderId="47" xfId="0" applyNumberFormat="1" applyFont="1" applyFill="1" applyBorder="1" applyAlignment="1" applyProtection="1">
      <alignment horizontal="right" vertical="center"/>
    </xf>
    <xf numFmtId="4" fontId="16" fillId="3" borderId="18" xfId="0" applyNumberFormat="1" applyFont="1" applyFill="1" applyBorder="1" applyAlignment="1" applyProtection="1">
      <alignment horizontal="right" vertical="center"/>
    </xf>
    <xf numFmtId="0" fontId="51" fillId="0" borderId="0" xfId="0" applyFont="1" applyFill="1" applyBorder="1" applyAlignment="1" applyProtection="1">
      <alignment horizontal="center"/>
      <protection locked="0"/>
    </xf>
    <xf numFmtId="0" fontId="50" fillId="0" borderId="0" xfId="0" applyFont="1" applyBorder="1" applyAlignment="1" applyProtection="1">
      <alignment horizontal="left"/>
      <protection locked="0"/>
    </xf>
    <xf numFmtId="0" fontId="47" fillId="0" borderId="0" xfId="0" applyFont="1" applyBorder="1" applyAlignment="1" applyProtection="1">
      <alignment horizontal="left"/>
      <protection locked="0"/>
    </xf>
    <xf numFmtId="0" fontId="50" fillId="0" borderId="0" xfId="0" applyFont="1" applyFill="1" applyAlignment="1" applyProtection="1">
      <alignment horizontal="center" vertical="center"/>
      <protection locked="0"/>
    </xf>
    <xf numFmtId="0" fontId="52" fillId="0" borderId="0" xfId="0" applyFont="1" applyFill="1" applyAlignment="1" applyProtection="1">
      <alignment horizontal="center" vertical="center"/>
      <protection locked="0"/>
    </xf>
    <xf numFmtId="0" fontId="52" fillId="0" borderId="0" xfId="0" applyFont="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4" fontId="0" fillId="0" borderId="8" xfId="0" applyNumberFormat="1" applyFill="1" applyBorder="1" applyAlignment="1" applyProtection="1">
      <alignment horizontal="center"/>
      <protection locked="0"/>
    </xf>
    <xf numFmtId="4" fontId="11" fillId="0" borderId="8" xfId="0" applyNumberFormat="1" applyFont="1" applyFill="1" applyBorder="1" applyAlignment="1" applyProtection="1">
      <alignment vertical="top"/>
      <protection locked="0"/>
    </xf>
    <xf numFmtId="4" fontId="16" fillId="0" borderId="9" xfId="0" applyNumberFormat="1" applyFont="1" applyBorder="1" applyAlignment="1" applyProtection="1">
      <alignment horizontal="left" vertical="top"/>
      <protection locked="0"/>
    </xf>
    <xf numFmtId="4" fontId="50" fillId="0" borderId="0" xfId="0" applyNumberFormat="1" applyFont="1" applyBorder="1" applyAlignment="1" applyProtection="1">
      <alignment horizontal="left"/>
      <protection locked="0"/>
    </xf>
    <xf numFmtId="4" fontId="6" fillId="0" borderId="0" xfId="0" applyNumberFormat="1" applyFont="1" applyFill="1" applyProtection="1">
      <protection locked="0"/>
    </xf>
    <xf numFmtId="4" fontId="5" fillId="0" borderId="0" xfId="0" applyNumberFormat="1" applyFont="1" applyBorder="1" applyAlignment="1" applyProtection="1">
      <alignment horizontal="left"/>
      <protection locked="0"/>
    </xf>
    <xf numFmtId="0" fontId="51" fillId="0" borderId="0" xfId="0" applyFont="1" applyFill="1" applyBorder="1" applyAlignment="1" applyProtection="1">
      <alignment horizontal="left"/>
    </xf>
    <xf numFmtId="0" fontId="10" fillId="0" borderId="0" xfId="0" applyFont="1" applyBorder="1" applyAlignment="1" applyProtection="1">
      <alignment horizontal="center" vertical="center" wrapText="1"/>
      <protection locked="0"/>
    </xf>
    <xf numFmtId="0" fontId="44" fillId="0" borderId="0" xfId="0" applyFont="1" applyFill="1" applyBorder="1" applyAlignment="1" applyProtection="1">
      <alignment horizontal="left"/>
    </xf>
    <xf numFmtId="0" fontId="22" fillId="0" borderId="0" xfId="0" applyFont="1" applyFill="1" applyProtection="1">
      <protection locked="0"/>
    </xf>
    <xf numFmtId="0" fontId="44" fillId="0" borderId="0" xfId="0" applyFont="1" applyFill="1" applyBorder="1" applyAlignment="1" applyProtection="1">
      <alignment horizontal="left"/>
      <protection locked="0"/>
    </xf>
    <xf numFmtId="0" fontId="1" fillId="0" borderId="0" xfId="0" applyFont="1" applyFill="1" applyProtection="1">
      <protection locked="0"/>
    </xf>
    <xf numFmtId="3" fontId="11" fillId="0" borderId="17" xfId="0" applyNumberFormat="1" applyFont="1" applyBorder="1" applyAlignment="1" applyProtection="1">
      <alignment horizontal="right" vertical="center" wrapText="1"/>
    </xf>
    <xf numFmtId="3" fontId="22" fillId="0" borderId="17" xfId="0" applyNumberFormat="1" applyFont="1" applyBorder="1" applyAlignment="1" applyProtection="1">
      <alignment horizontal="right" vertical="center" wrapText="1"/>
      <protection locked="0"/>
    </xf>
    <xf numFmtId="3" fontId="22" fillId="0" borderId="17" xfId="0" applyNumberFormat="1" applyFont="1" applyBorder="1" applyAlignment="1" applyProtection="1">
      <alignment horizontal="right" vertical="center" wrapText="1"/>
    </xf>
    <xf numFmtId="3" fontId="11" fillId="0" borderId="17" xfId="0" applyNumberFormat="1" applyFont="1" applyBorder="1" applyAlignment="1" applyProtection="1">
      <alignment horizontal="right" vertical="center" wrapText="1"/>
      <protection locked="0"/>
    </xf>
    <xf numFmtId="3" fontId="3" fillId="0" borderId="22" xfId="0" applyNumberFormat="1" applyFont="1" applyBorder="1" applyAlignment="1" applyProtection="1">
      <alignment horizontal="right" vertical="center" wrapText="1"/>
    </xf>
    <xf numFmtId="0" fontId="3" fillId="0" borderId="48" xfId="0" applyFont="1" applyFill="1" applyBorder="1" applyAlignment="1" applyProtection="1">
      <alignment vertical="center" wrapText="1"/>
      <protection locked="0"/>
    </xf>
    <xf numFmtId="3" fontId="3" fillId="0" borderId="17" xfId="0" applyNumberFormat="1" applyFont="1" applyFill="1" applyBorder="1" applyAlignment="1" applyProtection="1">
      <alignment horizontal="right" vertical="center" wrapText="1"/>
    </xf>
    <xf numFmtId="3" fontId="3" fillId="0" borderId="47" xfId="0" applyNumberFormat="1" applyFont="1" applyFill="1" applyBorder="1" applyAlignment="1" applyProtection="1">
      <alignment horizontal="right" vertical="center" wrapText="1"/>
    </xf>
    <xf numFmtId="3" fontId="1" fillId="0" borderId="17" xfId="0" applyNumberFormat="1" applyFont="1" applyFill="1" applyBorder="1" applyAlignment="1" applyProtection="1">
      <alignment horizontal="right" vertical="center" wrapText="1"/>
      <protection locked="0"/>
    </xf>
    <xf numFmtId="3" fontId="1" fillId="0" borderId="17" xfId="0" applyNumberFormat="1" applyFont="1" applyFill="1" applyBorder="1" applyAlignment="1" applyProtection="1">
      <alignment horizontal="right" vertical="center" wrapText="1"/>
    </xf>
    <xf numFmtId="3" fontId="1" fillId="0" borderId="47" xfId="0" applyNumberFormat="1" applyFont="1" applyFill="1" applyBorder="1" applyAlignment="1" applyProtection="1">
      <alignment horizontal="right" vertical="center" wrapText="1"/>
    </xf>
    <xf numFmtId="0" fontId="1" fillId="0" borderId="48" xfId="0" applyFont="1" applyFill="1" applyBorder="1" applyAlignment="1" applyProtection="1">
      <alignment horizontal="left" vertical="top" wrapText="1" indent="2"/>
      <protection locked="0"/>
    </xf>
    <xf numFmtId="3" fontId="1" fillId="0" borderId="22" xfId="0" applyNumberFormat="1" applyFont="1" applyFill="1" applyBorder="1" applyAlignment="1" applyProtection="1">
      <alignment horizontal="right" vertical="center" wrapText="1"/>
    </xf>
    <xf numFmtId="3" fontId="1" fillId="0" borderId="45" xfId="0" applyNumberFormat="1" applyFont="1" applyFill="1" applyBorder="1" applyAlignment="1" applyProtection="1">
      <alignment horizontal="right" vertical="center" wrapText="1"/>
    </xf>
    <xf numFmtId="3" fontId="3" fillId="0" borderId="22" xfId="0" applyNumberFormat="1" applyFont="1" applyFill="1" applyBorder="1" applyAlignment="1" applyProtection="1">
      <alignment horizontal="right" vertical="center" wrapText="1"/>
    </xf>
    <xf numFmtId="3" fontId="3" fillId="0" borderId="45" xfId="0" applyNumberFormat="1" applyFont="1" applyFill="1" applyBorder="1" applyAlignment="1" applyProtection="1">
      <alignment horizontal="right" vertical="center" wrapText="1"/>
    </xf>
    <xf numFmtId="3" fontId="1" fillId="0" borderId="16" xfId="0" applyNumberFormat="1" applyFont="1" applyFill="1" applyBorder="1" applyAlignment="1" applyProtection="1">
      <alignment horizontal="right" vertical="center" wrapText="1"/>
    </xf>
    <xf numFmtId="3" fontId="1" fillId="0" borderId="18" xfId="0" applyNumberFormat="1" applyFont="1" applyFill="1" applyBorder="1" applyAlignment="1" applyProtection="1">
      <alignment horizontal="right" vertical="center" wrapText="1"/>
    </xf>
    <xf numFmtId="3" fontId="3" fillId="0" borderId="16" xfId="0" applyNumberFormat="1" applyFont="1" applyFill="1" applyBorder="1" applyAlignment="1" applyProtection="1">
      <alignment horizontal="right" vertical="center" wrapText="1"/>
    </xf>
    <xf numFmtId="3" fontId="3" fillId="0" borderId="18" xfId="0" applyNumberFormat="1" applyFont="1" applyFill="1" applyBorder="1" applyAlignment="1" applyProtection="1">
      <alignment horizontal="right" vertical="center" wrapText="1"/>
    </xf>
    <xf numFmtId="3" fontId="22" fillId="0" borderId="17" xfId="0" applyNumberFormat="1" applyFont="1" applyFill="1" applyBorder="1" applyAlignment="1" applyProtection="1">
      <alignment horizontal="right" vertical="center" wrapText="1"/>
      <protection locked="0"/>
    </xf>
    <xf numFmtId="3" fontId="22" fillId="0" borderId="17" xfId="0" applyNumberFormat="1" applyFont="1" applyFill="1" applyBorder="1" applyAlignment="1" applyProtection="1">
      <alignment horizontal="right" vertical="center" wrapText="1"/>
    </xf>
    <xf numFmtId="3" fontId="22" fillId="0" borderId="47" xfId="0" applyNumberFormat="1" applyFont="1" applyFill="1" applyBorder="1" applyAlignment="1" applyProtection="1">
      <alignment horizontal="right" vertical="center" wrapText="1"/>
    </xf>
    <xf numFmtId="0" fontId="3" fillId="0" borderId="15"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49" fontId="3" fillId="0" borderId="16" xfId="0" applyNumberFormat="1" applyFont="1" applyFill="1" applyBorder="1" applyAlignment="1" applyProtection="1">
      <alignment horizontal="center" vertical="center" wrapText="1"/>
    </xf>
    <xf numFmtId="49" fontId="3" fillId="0" borderId="18" xfId="0" applyNumberFormat="1" applyFont="1" applyFill="1" applyBorder="1" applyAlignment="1" applyProtection="1">
      <alignment horizontal="center" vertical="center" wrapText="1"/>
    </xf>
    <xf numFmtId="0" fontId="1" fillId="0" borderId="48" xfId="0" applyFont="1" applyBorder="1" applyAlignment="1" applyProtection="1">
      <alignment vertical="center" wrapText="1"/>
    </xf>
    <xf numFmtId="0" fontId="3" fillId="0" borderId="44" xfId="0" applyFont="1" applyBorder="1" applyAlignment="1" applyProtection="1">
      <alignment vertical="center" wrapText="1"/>
    </xf>
    <xf numFmtId="3" fontId="1" fillId="0" borderId="47" xfId="0" applyNumberFormat="1" applyFont="1" applyBorder="1" applyAlignment="1" applyProtection="1">
      <alignment horizontal="right" vertical="center" wrapText="1"/>
    </xf>
    <xf numFmtId="3" fontId="1" fillId="0" borderId="18" xfId="0" applyNumberFormat="1" applyFont="1" applyBorder="1" applyAlignment="1" applyProtection="1">
      <alignment horizontal="right" vertical="center" wrapText="1"/>
    </xf>
    <xf numFmtId="3" fontId="15" fillId="0" borderId="6" xfId="0" applyNumberFormat="1" applyFont="1" applyBorder="1" applyAlignment="1" applyProtection="1">
      <alignment horizontal="right" vertical="center"/>
    </xf>
    <xf numFmtId="3" fontId="1" fillId="0" borderId="6" xfId="0" applyNumberFormat="1" applyFont="1" applyBorder="1" applyAlignment="1" applyProtection="1">
      <alignment horizontal="right" vertical="center"/>
      <protection locked="0"/>
    </xf>
    <xf numFmtId="3" fontId="1" fillId="0" borderId="6" xfId="0" applyNumberFormat="1" applyFont="1" applyBorder="1" applyAlignment="1" applyProtection="1">
      <alignment horizontal="right" vertical="center"/>
    </xf>
    <xf numFmtId="3" fontId="1" fillId="0" borderId="4" xfId="0" applyNumberFormat="1" applyFont="1" applyBorder="1" applyAlignment="1" applyProtection="1">
      <alignment horizontal="right" vertical="center"/>
    </xf>
    <xf numFmtId="3" fontId="1" fillId="0" borderId="6" xfId="0" applyNumberFormat="1" applyFont="1" applyBorder="1" applyAlignment="1" applyProtection="1">
      <alignment horizontal="right" vertical="center" wrapText="1"/>
      <protection locked="0"/>
    </xf>
    <xf numFmtId="3" fontId="1" fillId="0" borderId="9" xfId="0" applyNumberFormat="1" applyFont="1" applyBorder="1" applyAlignment="1" applyProtection="1">
      <alignment horizontal="right" vertical="center"/>
      <protection locked="0"/>
    </xf>
    <xf numFmtId="3" fontId="1" fillId="0" borderId="9" xfId="0" applyNumberFormat="1" applyFont="1" applyBorder="1" applyAlignment="1" applyProtection="1">
      <alignment horizontal="right" vertical="center"/>
    </xf>
    <xf numFmtId="3" fontId="1" fillId="0" borderId="13" xfId="0" applyNumberFormat="1" applyFont="1" applyBorder="1" applyAlignment="1" applyProtection="1">
      <alignment horizontal="right" vertical="center"/>
      <protection locked="0"/>
    </xf>
    <xf numFmtId="43" fontId="1" fillId="0" borderId="0" xfId="0" applyNumberFormat="1" applyFont="1" applyFill="1" applyBorder="1" applyProtection="1">
      <protection locked="0"/>
    </xf>
    <xf numFmtId="0" fontId="1" fillId="0" borderId="0" xfId="0" applyFont="1" applyFill="1" applyBorder="1" applyProtection="1">
      <protection locked="0"/>
    </xf>
    <xf numFmtId="0" fontId="1" fillId="0" borderId="0" xfId="0" applyFont="1" applyProtection="1">
      <protection locked="0"/>
    </xf>
    <xf numFmtId="4" fontId="16" fillId="0" borderId="0" xfId="0" applyNumberFormat="1" applyFont="1" applyBorder="1" applyAlignment="1" applyProtection="1">
      <alignment horizontal="left" vertical="top"/>
      <protection locked="0"/>
    </xf>
    <xf numFmtId="0" fontId="15" fillId="0" borderId="0" xfId="0" applyFont="1" applyBorder="1" applyAlignment="1" applyProtection="1">
      <alignment horizontal="justify" vertical="top" wrapText="1"/>
      <protection locked="0"/>
    </xf>
    <xf numFmtId="0" fontId="3" fillId="0" borderId="0" xfId="0" applyFont="1" applyFill="1" applyBorder="1" applyAlignment="1" applyProtection="1">
      <alignment horizontal="center" vertical="center" wrapText="1"/>
      <protection locked="0"/>
    </xf>
    <xf numFmtId="3" fontId="3" fillId="0" borderId="0" xfId="0" applyNumberFormat="1" applyFont="1" applyFill="1" applyBorder="1" applyAlignment="1" applyProtection="1">
      <alignment horizontal="right" vertical="center" wrapText="1"/>
    </xf>
    <xf numFmtId="0" fontId="3" fillId="0" borderId="0" xfId="0" applyFont="1" applyFill="1" applyBorder="1" applyAlignment="1" applyProtection="1">
      <alignment horizontal="justify" vertical="center" wrapText="1"/>
      <protection locked="0"/>
    </xf>
    <xf numFmtId="0" fontId="1" fillId="0" borderId="0" xfId="0" applyFont="1" applyFill="1" applyBorder="1" applyAlignment="1" applyProtection="1">
      <alignment horizontal="left" vertical="center" wrapText="1" indent="2"/>
      <protection locked="0"/>
    </xf>
    <xf numFmtId="3" fontId="1" fillId="0" borderId="0" xfId="0" applyNumberFormat="1" applyFont="1" applyFill="1" applyBorder="1" applyAlignment="1" applyProtection="1">
      <alignment horizontal="right" vertical="center" wrapText="1"/>
      <protection locked="0"/>
    </xf>
    <xf numFmtId="3" fontId="1" fillId="0" borderId="0" xfId="0" applyNumberFormat="1" applyFont="1" applyFill="1" applyBorder="1" applyAlignment="1" applyProtection="1">
      <alignment horizontal="right" vertical="center" wrapText="1"/>
    </xf>
    <xf numFmtId="0" fontId="2" fillId="0" borderId="0" xfId="0" applyFont="1" applyFill="1" applyBorder="1" applyAlignment="1" applyProtection="1">
      <alignment horizontal="justify" vertical="center"/>
      <protection locked="0"/>
    </xf>
    <xf numFmtId="0" fontId="16" fillId="0" borderId="0" xfId="0" applyFont="1" applyFill="1" applyBorder="1" applyAlignment="1" applyProtection="1">
      <alignment horizontal="justify" vertical="center"/>
      <protection locked="0"/>
    </xf>
    <xf numFmtId="4" fontId="16" fillId="0" borderId="0" xfId="0" applyNumberFormat="1" applyFont="1" applyFill="1" applyBorder="1" applyAlignment="1" applyProtection="1">
      <alignment horizontal="right" vertical="center"/>
    </xf>
    <xf numFmtId="0" fontId="21" fillId="0" borderId="0" xfId="0" applyFont="1" applyFill="1" applyBorder="1" applyAlignment="1" applyProtection="1">
      <alignment vertical="center"/>
      <protection locked="0"/>
    </xf>
    <xf numFmtId="0" fontId="21" fillId="0" borderId="44" xfId="0" applyFont="1" applyFill="1" applyBorder="1" applyAlignment="1" applyProtection="1">
      <alignment vertical="center"/>
      <protection locked="0"/>
    </xf>
    <xf numFmtId="0" fontId="33" fillId="0" borderId="0" xfId="0" applyFont="1" applyBorder="1" applyAlignment="1" applyProtection="1">
      <alignment horizontal="center" vertical="center"/>
      <protection locked="0"/>
    </xf>
    <xf numFmtId="0" fontId="33" fillId="0" borderId="0" xfId="0" applyFont="1" applyBorder="1" applyAlignment="1" applyProtection="1">
      <alignment vertical="center"/>
      <protection locked="0"/>
    </xf>
    <xf numFmtId="4" fontId="33" fillId="0" borderId="0" xfId="0" applyNumberFormat="1" applyFont="1" applyBorder="1" applyAlignment="1" applyProtection="1">
      <alignment horizontal="right" vertical="center"/>
    </xf>
    <xf numFmtId="0" fontId="5" fillId="0" borderId="0" xfId="0" applyFont="1" applyBorder="1" applyAlignment="1" applyProtection="1">
      <alignment wrapText="1"/>
      <protection locked="0"/>
    </xf>
    <xf numFmtId="0" fontId="5" fillId="0" borderId="0" xfId="0" applyFont="1" applyBorder="1" applyProtection="1">
      <protection locked="0"/>
    </xf>
    <xf numFmtId="0" fontId="3" fillId="0" borderId="0" xfId="0" applyFont="1" applyBorder="1" applyAlignment="1" applyProtection="1">
      <alignment horizontal="justify" vertical="center" wrapText="1"/>
      <protection locked="0"/>
    </xf>
    <xf numFmtId="4" fontId="2" fillId="0" borderId="0" xfId="0" applyNumberFormat="1" applyFont="1" applyFill="1" applyBorder="1" applyAlignment="1" applyProtection="1">
      <alignment horizontal="right" vertical="center"/>
      <protection locked="0"/>
    </xf>
    <xf numFmtId="0" fontId="3" fillId="0" borderId="0" xfId="0" applyFont="1" applyFill="1" applyAlignment="1" applyProtection="1">
      <alignment vertical="center"/>
    </xf>
    <xf numFmtId="3" fontId="3" fillId="0" borderId="0" xfId="0" applyNumberFormat="1" applyFont="1" applyBorder="1" applyAlignment="1" applyProtection="1">
      <alignment horizontal="right" vertical="center" wrapText="1"/>
      <protection locked="0"/>
    </xf>
    <xf numFmtId="0" fontId="0" fillId="0" borderId="8" xfId="0" applyBorder="1" applyAlignment="1" applyProtection="1">
      <alignment horizontal="center"/>
      <protection locked="0"/>
    </xf>
    <xf numFmtId="3" fontId="22" fillId="0" borderId="47" xfId="0" applyNumberFormat="1" applyFont="1" applyFill="1" applyBorder="1" applyAlignment="1" applyProtection="1">
      <alignment horizontal="right" vertical="center" wrapText="1"/>
      <protection locked="0"/>
    </xf>
    <xf numFmtId="0" fontId="1" fillId="0" borderId="49" xfId="0" applyFont="1" applyFill="1" applyBorder="1" applyAlignment="1" applyProtection="1">
      <alignment horizontal="justify" vertical="center" wrapText="1"/>
    </xf>
    <xf numFmtId="0" fontId="1" fillId="0" borderId="48" xfId="0" applyFont="1" applyFill="1" applyBorder="1" applyAlignment="1" applyProtection="1">
      <alignment horizontal="justify" vertical="center" wrapText="1"/>
    </xf>
    <xf numFmtId="0" fontId="53" fillId="0" borderId="0" xfId="0" applyFont="1"/>
    <xf numFmtId="3" fontId="22" fillId="0" borderId="16" xfId="0" applyNumberFormat="1" applyFont="1" applyFill="1" applyBorder="1" applyAlignment="1" applyProtection="1">
      <alignment horizontal="right" vertical="center" wrapText="1"/>
      <protection locked="0"/>
    </xf>
    <xf numFmtId="3" fontId="22" fillId="0" borderId="16" xfId="0" applyNumberFormat="1" applyFont="1" applyFill="1" applyBorder="1" applyAlignment="1" applyProtection="1">
      <alignment horizontal="right" vertical="center" wrapText="1"/>
    </xf>
    <xf numFmtId="3" fontId="22" fillId="0" borderId="18" xfId="0" applyNumberFormat="1" applyFont="1" applyFill="1" applyBorder="1" applyAlignment="1" applyProtection="1">
      <alignment horizontal="right" vertical="center" wrapText="1"/>
    </xf>
    <xf numFmtId="3" fontId="11" fillId="0" borderId="16" xfId="0" applyNumberFormat="1" applyFont="1" applyFill="1" applyBorder="1" applyAlignment="1" applyProtection="1">
      <alignment horizontal="right" vertical="center" wrapText="1"/>
    </xf>
    <xf numFmtId="3" fontId="31" fillId="0" borderId="16" xfId="0" applyNumberFormat="1" applyFont="1" applyFill="1" applyBorder="1" applyAlignment="1" applyProtection="1">
      <alignment horizontal="right" vertical="center" wrapText="1"/>
    </xf>
    <xf numFmtId="3" fontId="11" fillId="0" borderId="18" xfId="0" applyNumberFormat="1" applyFont="1" applyFill="1" applyBorder="1" applyAlignment="1" applyProtection="1">
      <alignment horizontal="right" vertical="center" wrapText="1"/>
    </xf>
    <xf numFmtId="0" fontId="5" fillId="0" borderId="5" xfId="0" applyFont="1" applyFill="1" applyBorder="1" applyAlignment="1" applyProtection="1">
      <alignment horizontal="center" wrapText="1"/>
      <protection locked="0"/>
    </xf>
    <xf numFmtId="0" fontId="5" fillId="0" borderId="5" xfId="0" applyFont="1" applyFill="1" applyBorder="1" applyAlignment="1" applyProtection="1">
      <alignment horizontal="left" vertical="top" wrapText="1"/>
      <protection locked="0"/>
    </xf>
    <xf numFmtId="0" fontId="5" fillId="0" borderId="5" xfId="0" applyFont="1" applyFill="1" applyBorder="1" applyAlignment="1" applyProtection="1">
      <alignment vertical="top" wrapText="1"/>
      <protection locked="0"/>
    </xf>
    <xf numFmtId="4" fontId="6" fillId="0" borderId="8" xfId="0" applyNumberFormat="1" applyFont="1" applyFill="1" applyBorder="1" applyAlignment="1" applyProtection="1">
      <alignment horizontal="right" vertical="top"/>
      <protection locked="0"/>
    </xf>
    <xf numFmtId="0" fontId="3" fillId="0" borderId="2" xfId="0" applyFont="1" applyFill="1" applyBorder="1" applyAlignment="1" applyProtection="1">
      <alignment horizontal="justify" vertical="center" wrapText="1"/>
      <protection locked="0"/>
    </xf>
    <xf numFmtId="3" fontId="3" fillId="0" borderId="2" xfId="0" applyNumberFormat="1" applyFont="1" applyFill="1" applyBorder="1" applyAlignment="1" applyProtection="1">
      <alignment horizontal="right" vertical="center" wrapText="1"/>
    </xf>
    <xf numFmtId="0" fontId="1" fillId="0" borderId="0" xfId="0" applyFont="1" applyFill="1" applyBorder="1" applyAlignment="1" applyProtection="1">
      <alignment horizontal="justify" vertical="center" wrapText="1"/>
      <protection locked="0"/>
    </xf>
    <xf numFmtId="0" fontId="6" fillId="0" borderId="8" xfId="0" applyFont="1" applyFill="1" applyBorder="1" applyAlignment="1" applyProtection="1">
      <alignment vertical="center" wrapText="1"/>
      <protection locked="0"/>
    </xf>
    <xf numFmtId="43" fontId="6" fillId="2" borderId="0" xfId="12" applyFont="1" applyFill="1" applyBorder="1" applyAlignment="1" applyProtection="1">
      <alignment horizontal="right" vertical="top"/>
    </xf>
    <xf numFmtId="43" fontId="6" fillId="2" borderId="6" xfId="12" applyFont="1" applyFill="1" applyBorder="1" applyAlignment="1" applyProtection="1">
      <alignment horizontal="right" vertical="top"/>
    </xf>
    <xf numFmtId="43" fontId="5" fillId="0" borderId="0" xfId="12" applyFont="1" applyBorder="1" applyAlignment="1" applyProtection="1">
      <alignment horizontal="right" vertical="top"/>
      <protection locked="0"/>
    </xf>
    <xf numFmtId="43" fontId="5" fillId="0" borderId="6" xfId="12" applyFont="1" applyBorder="1" applyAlignment="1" applyProtection="1">
      <alignment horizontal="right" vertical="top"/>
      <protection locked="0"/>
    </xf>
    <xf numFmtId="43" fontId="7" fillId="2" borderId="0" xfId="12" applyFont="1" applyFill="1" applyBorder="1" applyAlignment="1" applyProtection="1">
      <alignment horizontal="right" vertical="top"/>
    </xf>
    <xf numFmtId="43" fontId="7" fillId="2" borderId="6" xfId="12" applyFont="1" applyFill="1" applyBorder="1" applyAlignment="1" applyProtection="1">
      <alignment horizontal="right" vertical="top"/>
    </xf>
    <xf numFmtId="0" fontId="6" fillId="0" borderId="5" xfId="0" applyFont="1" applyFill="1" applyBorder="1" applyAlignment="1" applyProtection="1">
      <alignment horizontal="justify" vertical="top"/>
      <protection locked="0"/>
    </xf>
    <xf numFmtId="4" fontId="15" fillId="0" borderId="0" xfId="0" applyNumberFormat="1" applyFont="1" applyFill="1" applyBorder="1" applyAlignment="1" applyProtection="1">
      <alignment horizontal="right" vertical="top"/>
    </xf>
    <xf numFmtId="4" fontId="15" fillId="0" borderId="6" xfId="0" applyNumberFormat="1" applyFont="1" applyFill="1" applyBorder="1" applyAlignment="1" applyProtection="1">
      <alignment horizontal="right" vertical="top"/>
    </xf>
    <xf numFmtId="0" fontId="7" fillId="0" borderId="5" xfId="0" applyFont="1" applyFill="1" applyBorder="1" applyAlignment="1" applyProtection="1">
      <alignment horizontal="justify" vertical="top"/>
      <protection locked="0"/>
    </xf>
    <xf numFmtId="4" fontId="3" fillId="0" borderId="0" xfId="0" applyNumberFormat="1" applyFont="1" applyFill="1" applyBorder="1" applyAlignment="1" applyProtection="1">
      <alignment horizontal="right" vertical="top"/>
    </xf>
    <xf numFmtId="4" fontId="3" fillId="0" borderId="6" xfId="0" applyNumberFormat="1" applyFont="1" applyFill="1" applyBorder="1" applyAlignment="1" applyProtection="1">
      <alignment horizontal="right" vertical="top"/>
    </xf>
    <xf numFmtId="0" fontId="22" fillId="0" borderId="5" xfId="0" applyFont="1" applyFill="1" applyBorder="1" applyAlignment="1" applyProtection="1">
      <alignment horizontal="justify" vertical="top"/>
      <protection locked="0"/>
    </xf>
    <xf numFmtId="4" fontId="22" fillId="0" borderId="0" xfId="0" applyNumberFormat="1" applyFont="1" applyFill="1" applyBorder="1" applyAlignment="1" applyProtection="1">
      <alignment horizontal="right" vertical="top"/>
      <protection locked="0"/>
    </xf>
    <xf numFmtId="4" fontId="22" fillId="0" borderId="6" xfId="0" applyNumberFormat="1" applyFont="1" applyFill="1" applyBorder="1" applyAlignment="1" applyProtection="1">
      <alignment horizontal="right" vertical="top"/>
      <protection locked="0"/>
    </xf>
    <xf numFmtId="4" fontId="3" fillId="0" borderId="0" xfId="0" applyNumberFormat="1" applyFont="1" applyFill="1" applyBorder="1" applyAlignment="1" applyProtection="1">
      <alignment horizontal="right" vertical="top"/>
      <protection locked="0"/>
    </xf>
    <xf numFmtId="4" fontId="3" fillId="0" borderId="6" xfId="0" applyNumberFormat="1" applyFont="1" applyFill="1" applyBorder="1" applyAlignment="1" applyProtection="1">
      <alignment horizontal="right" vertical="top"/>
      <protection locked="0"/>
    </xf>
    <xf numFmtId="0" fontId="18" fillId="0" borderId="5" xfId="0" applyFont="1" applyFill="1" applyBorder="1" applyAlignment="1" applyProtection="1">
      <alignment horizontal="justify" vertical="top"/>
      <protection locked="0"/>
    </xf>
    <xf numFmtId="4" fontId="1" fillId="0" borderId="0" xfId="0" applyNumberFormat="1" applyFont="1" applyFill="1" applyAlignment="1" applyProtection="1">
      <alignment horizontal="right"/>
      <protection locked="0"/>
    </xf>
    <xf numFmtId="4" fontId="1" fillId="0" borderId="6" xfId="0" applyNumberFormat="1" applyFont="1" applyFill="1" applyBorder="1" applyAlignment="1" applyProtection="1">
      <alignment horizontal="right"/>
      <protection locked="0"/>
    </xf>
    <xf numFmtId="0" fontId="1" fillId="0" borderId="5" xfId="0" applyFont="1" applyFill="1" applyBorder="1" applyAlignment="1" applyProtection="1">
      <alignment horizontal="justify" vertical="top"/>
      <protection locked="0"/>
    </xf>
    <xf numFmtId="0" fontId="22" fillId="0" borderId="7" xfId="0" applyFont="1" applyFill="1" applyBorder="1" applyAlignment="1" applyProtection="1">
      <alignment horizontal="justify" vertical="top"/>
      <protection locked="0"/>
    </xf>
    <xf numFmtId="4" fontId="22" fillId="0" borderId="8" xfId="0" applyNumberFormat="1" applyFont="1" applyFill="1" applyBorder="1" applyAlignment="1" applyProtection="1">
      <alignment horizontal="right" vertical="top"/>
      <protection locked="0"/>
    </xf>
    <xf numFmtId="4" fontId="22" fillId="0" borderId="9" xfId="0" applyNumberFormat="1" applyFont="1" applyFill="1" applyBorder="1" applyAlignment="1" applyProtection="1">
      <alignment horizontal="right" vertical="top"/>
      <protection locked="0"/>
    </xf>
    <xf numFmtId="0" fontId="22" fillId="0" borderId="0" xfId="0" applyFont="1" applyFill="1" applyBorder="1" applyAlignment="1" applyProtection="1">
      <alignment horizontal="justify" vertical="top"/>
      <protection locked="0"/>
    </xf>
    <xf numFmtId="0" fontId="5" fillId="0" borderId="0" xfId="0" applyFont="1" applyFill="1" applyAlignment="1" applyProtection="1">
      <protection locked="0"/>
    </xf>
    <xf numFmtId="0" fontId="21" fillId="0" borderId="1" xfId="0" applyFont="1" applyFill="1" applyBorder="1" applyAlignment="1" applyProtection="1">
      <alignment vertical="center"/>
      <protection locked="0"/>
    </xf>
    <xf numFmtId="0" fontId="21" fillId="0" borderId="27" xfId="0" applyFont="1" applyFill="1" applyBorder="1" applyAlignment="1" applyProtection="1">
      <alignment vertical="center"/>
      <protection locked="0"/>
    </xf>
    <xf numFmtId="4" fontId="16" fillId="0" borderId="17" xfId="0" applyNumberFormat="1" applyFont="1" applyFill="1" applyBorder="1" applyAlignment="1" applyProtection="1">
      <alignment horizontal="justify" vertical="center"/>
      <protection locked="0"/>
    </xf>
    <xf numFmtId="4" fontId="16" fillId="0" borderId="47" xfId="0" applyNumberFormat="1" applyFont="1" applyFill="1" applyBorder="1" applyAlignment="1" applyProtection="1">
      <alignment horizontal="justify" vertical="center"/>
      <protection locked="0"/>
    </xf>
    <xf numFmtId="0" fontId="21" fillId="0" borderId="5" xfId="0" applyFont="1" applyFill="1" applyBorder="1" applyAlignment="1" applyProtection="1">
      <alignment vertical="center"/>
      <protection locked="0"/>
    </xf>
    <xf numFmtId="0" fontId="21" fillId="0" borderId="14" xfId="0" applyFont="1" applyFill="1" applyBorder="1" applyAlignment="1" applyProtection="1">
      <alignment vertical="center"/>
      <protection locked="0"/>
    </xf>
    <xf numFmtId="4" fontId="19" fillId="0" borderId="17" xfId="0" applyNumberFormat="1" applyFont="1" applyFill="1" applyBorder="1" applyAlignment="1" applyProtection="1">
      <alignment horizontal="right" vertical="center"/>
    </xf>
    <xf numFmtId="4" fontId="30" fillId="0" borderId="17" xfId="0" applyNumberFormat="1" applyFont="1" applyFill="1" applyBorder="1" applyAlignment="1" applyProtection="1">
      <alignment horizontal="right" vertical="center"/>
    </xf>
    <xf numFmtId="4" fontId="30" fillId="0" borderId="47" xfId="0" applyNumberFormat="1" applyFont="1" applyFill="1" applyBorder="1" applyAlignment="1" applyProtection="1">
      <alignment horizontal="right" vertical="center"/>
    </xf>
    <xf numFmtId="0" fontId="21" fillId="0" borderId="5" xfId="0" applyFont="1" applyFill="1" applyBorder="1" applyAlignment="1" applyProtection="1">
      <alignment horizontal="justify" vertical="center"/>
      <protection locked="0"/>
    </xf>
    <xf numFmtId="0" fontId="29" fillId="0" borderId="14" xfId="0" applyFont="1" applyFill="1" applyBorder="1" applyAlignment="1" applyProtection="1">
      <alignment horizontal="justify" vertical="center"/>
      <protection locked="0"/>
    </xf>
    <xf numFmtId="4" fontId="2" fillId="0" borderId="17" xfId="0" applyNumberFormat="1" applyFont="1" applyFill="1" applyBorder="1" applyAlignment="1" applyProtection="1">
      <alignment horizontal="right" vertical="center"/>
      <protection locked="0"/>
    </xf>
    <xf numFmtId="4" fontId="2" fillId="0" borderId="47"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justify" vertical="center"/>
      <protection locked="0"/>
    </xf>
    <xf numFmtId="0" fontId="2" fillId="0" borderId="14" xfId="0" applyFont="1" applyFill="1" applyBorder="1" applyAlignment="1" applyProtection="1">
      <alignment horizontal="left" vertical="center" wrapText="1" indent="2"/>
      <protection locked="0"/>
    </xf>
    <xf numFmtId="4" fontId="2" fillId="0" borderId="17" xfId="0" applyNumberFormat="1" applyFont="1" applyFill="1" applyBorder="1" applyAlignment="1" applyProtection="1">
      <alignment horizontal="right" vertical="center"/>
    </xf>
    <xf numFmtId="4" fontId="2" fillId="0" borderId="47" xfId="0" applyNumberFormat="1" applyFont="1" applyFill="1" applyBorder="1" applyAlignment="1" applyProtection="1">
      <alignment horizontal="right" vertical="center"/>
    </xf>
    <xf numFmtId="0" fontId="16" fillId="0" borderId="7" xfId="0" applyFont="1" applyFill="1" applyBorder="1" applyAlignment="1" applyProtection="1">
      <alignment horizontal="justify" vertical="center"/>
      <protection locked="0"/>
    </xf>
    <xf numFmtId="0" fontId="16" fillId="0" borderId="28" xfId="0" applyFont="1" applyFill="1" applyBorder="1" applyAlignment="1" applyProtection="1">
      <alignment horizontal="justify" vertical="center"/>
      <protection locked="0"/>
    </xf>
    <xf numFmtId="4" fontId="2" fillId="0" borderId="16" xfId="0" applyNumberFormat="1" applyFont="1" applyFill="1" applyBorder="1" applyAlignment="1" applyProtection="1">
      <alignment horizontal="right" vertical="center"/>
      <protection locked="0"/>
    </xf>
    <xf numFmtId="4" fontId="2" fillId="0" borderId="18" xfId="0" applyNumberFormat="1" applyFont="1" applyFill="1" applyBorder="1" applyAlignment="1" applyProtection="1">
      <alignment horizontal="right" vertical="center"/>
      <protection locked="0"/>
    </xf>
    <xf numFmtId="4" fontId="23" fillId="0" borderId="0" xfId="0" applyNumberFormat="1" applyFont="1" applyBorder="1" applyAlignment="1" applyProtection="1">
      <alignment horizontal="right" vertical="center" wrapText="1"/>
      <protection locked="0"/>
    </xf>
    <xf numFmtId="4" fontId="10" fillId="0" borderId="0" xfId="0" applyNumberFormat="1" applyFont="1" applyBorder="1" applyAlignment="1" applyProtection="1">
      <alignment horizontal="right" vertical="center" wrapText="1"/>
      <protection locked="0"/>
    </xf>
    <xf numFmtId="4" fontId="11" fillId="0" borderId="0" xfId="0" applyNumberFormat="1" applyFont="1" applyBorder="1" applyAlignment="1" applyProtection="1">
      <alignment vertical="center"/>
      <protection locked="0"/>
    </xf>
    <xf numFmtId="3" fontId="11" fillId="0" borderId="0" xfId="0" applyNumberFormat="1" applyFont="1" applyFill="1" applyBorder="1" applyAlignment="1" applyProtection="1">
      <alignment horizontal="right" vertical="center" wrapText="1"/>
    </xf>
    <xf numFmtId="3" fontId="31" fillId="0" borderId="0" xfId="0" applyNumberFormat="1" applyFont="1" applyFill="1" applyBorder="1" applyAlignment="1" applyProtection="1">
      <alignment horizontal="right" vertical="center" wrapText="1"/>
    </xf>
    <xf numFmtId="0" fontId="3" fillId="0" borderId="0" xfId="0" applyFont="1" applyBorder="1" applyAlignment="1" applyProtection="1">
      <alignment vertical="center" wrapText="1"/>
    </xf>
    <xf numFmtId="3" fontId="3" fillId="0" borderId="0" xfId="0" applyNumberFormat="1" applyFont="1" applyBorder="1" applyAlignment="1" applyProtection="1">
      <alignment horizontal="right" vertical="center" wrapText="1"/>
    </xf>
    <xf numFmtId="4" fontId="5" fillId="0" borderId="50" xfId="0" applyNumberFormat="1" applyFont="1" applyBorder="1" applyAlignment="1" applyProtection="1">
      <alignment horizontal="left" vertical="top"/>
      <protection locked="0"/>
    </xf>
    <xf numFmtId="0" fontId="54" fillId="0" borderId="0" xfId="0" applyFont="1" applyFill="1" applyBorder="1" applyAlignment="1" applyProtection="1">
      <alignment horizontal="left"/>
    </xf>
    <xf numFmtId="0" fontId="12" fillId="0" borderId="0" xfId="0" applyFont="1" applyFill="1" applyAlignment="1" applyProtection="1">
      <alignment vertical="center"/>
      <protection locked="0"/>
    </xf>
    <xf numFmtId="4" fontId="33" fillId="0" borderId="23" xfId="0" applyNumberFormat="1" applyFont="1" applyBorder="1" applyAlignment="1" applyProtection="1">
      <alignment horizontal="right" vertical="center"/>
    </xf>
    <xf numFmtId="0" fontId="33" fillId="0" borderId="19" xfId="0" applyFont="1" applyFill="1" applyBorder="1" applyAlignment="1">
      <alignment horizontal="center" vertical="center"/>
    </xf>
    <xf numFmtId="0" fontId="33" fillId="0" borderId="32" xfId="0" applyFont="1" applyFill="1" applyBorder="1" applyAlignment="1">
      <alignment horizontal="center" vertical="center"/>
    </xf>
    <xf numFmtId="0" fontId="33" fillId="0" borderId="34"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7" xfId="0" applyFont="1" applyFill="1" applyBorder="1"/>
    <xf numFmtId="0" fontId="33" fillId="0" borderId="37"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4" xfId="0" applyFont="1" applyFill="1" applyBorder="1"/>
    <xf numFmtId="0" fontId="33" fillId="0" borderId="33" xfId="0" applyFont="1" applyFill="1" applyBorder="1" applyAlignment="1">
      <alignment horizontal="right" vertical="center"/>
    </xf>
    <xf numFmtId="0" fontId="5" fillId="0" borderId="2" xfId="0" applyFont="1" applyFill="1" applyBorder="1"/>
    <xf numFmtId="0" fontId="5" fillId="0" borderId="0" xfId="0" applyFont="1" applyFill="1" applyBorder="1" applyAlignment="1"/>
    <xf numFmtId="0" fontId="25" fillId="0" borderId="4" xfId="0" applyFont="1" applyBorder="1" applyAlignment="1">
      <alignment horizontal="justify" vertical="center" wrapText="1"/>
    </xf>
    <xf numFmtId="0" fontId="12" fillId="0" borderId="4" xfId="0" applyFont="1" applyBorder="1" applyAlignment="1">
      <alignment horizontal="left" vertical="center" wrapText="1"/>
    </xf>
    <xf numFmtId="0" fontId="24" fillId="0" borderId="6" xfId="0" applyFont="1" applyBorder="1" applyAlignment="1">
      <alignment horizontal="justify" vertical="center" wrapText="1"/>
    </xf>
    <xf numFmtId="0" fontId="62" fillId="6" borderId="6" xfId="0" applyFont="1" applyFill="1" applyBorder="1" applyAlignment="1">
      <alignment horizontal="center" vertical="center" wrapText="1"/>
    </xf>
    <xf numFmtId="0" fontId="62" fillId="6" borderId="9" xfId="0" applyFont="1" applyFill="1" applyBorder="1" applyAlignment="1">
      <alignment horizontal="center" vertical="center" wrapText="1"/>
    </xf>
    <xf numFmtId="0" fontId="63" fillId="0" borderId="6" xfId="0" applyFont="1" applyBorder="1" applyAlignment="1">
      <alignment horizontal="justify" vertical="center" wrapText="1"/>
    </xf>
    <xf numFmtId="0" fontId="58" fillId="4" borderId="6" xfId="0" applyFont="1" applyFill="1" applyBorder="1" applyAlignment="1">
      <alignment horizontal="center" vertical="center" wrapText="1"/>
    </xf>
    <xf numFmtId="0" fontId="25" fillId="4" borderId="13"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25" fillId="0" borderId="4" xfId="0" applyFont="1" applyBorder="1" applyAlignment="1">
      <alignment horizontal="left" vertical="center" wrapText="1"/>
    </xf>
    <xf numFmtId="0" fontId="12" fillId="0" borderId="4" xfId="0" applyFont="1" applyBorder="1" applyAlignment="1">
      <alignment horizontal="left" vertical="center" wrapText="1" indent="1"/>
    </xf>
    <xf numFmtId="0" fontId="12" fillId="0" borderId="13" xfId="0" applyFont="1" applyBorder="1" applyAlignment="1">
      <alignment horizontal="justify" vertical="center" wrapText="1"/>
    </xf>
    <xf numFmtId="0" fontId="25" fillId="0" borderId="9" xfId="0" applyFont="1" applyBorder="1" applyAlignment="1">
      <alignment horizontal="justify" vertical="center" wrapText="1"/>
    </xf>
    <xf numFmtId="0" fontId="62" fillId="6" borderId="3" xfId="0" applyFont="1" applyFill="1" applyBorder="1" applyAlignment="1">
      <alignment horizontal="center" vertical="center" wrapText="1"/>
    </xf>
    <xf numFmtId="0" fontId="64" fillId="6" borderId="9" xfId="0" applyFont="1" applyFill="1" applyBorder="1" applyAlignment="1">
      <alignment vertical="center" wrapText="1"/>
    </xf>
    <xf numFmtId="0" fontId="62" fillId="0" borderId="4" xfId="0" applyFont="1" applyBorder="1" applyAlignment="1">
      <alignment horizontal="left" vertical="center" wrapText="1"/>
    </xf>
    <xf numFmtId="0" fontId="63" fillId="0" borderId="4" xfId="0" applyFont="1" applyBorder="1" applyAlignment="1">
      <alignment horizontal="justify" vertical="center" wrapText="1"/>
    </xf>
    <xf numFmtId="0" fontId="63" fillId="0" borderId="13" xfId="0" applyFont="1" applyBorder="1" applyAlignment="1">
      <alignment horizontal="justify" vertical="center" wrapText="1"/>
    </xf>
    <xf numFmtId="0" fontId="56" fillId="0" borderId="0" xfId="0" applyFont="1" applyAlignment="1">
      <alignment horizontal="center" vertical="center"/>
    </xf>
    <xf numFmtId="0" fontId="56" fillId="0" borderId="9" xfId="0" applyFont="1" applyBorder="1" applyAlignment="1">
      <alignment vertical="center" wrapText="1"/>
    </xf>
    <xf numFmtId="0" fontId="56" fillId="0" borderId="7" xfId="0" applyFont="1" applyBorder="1" applyAlignment="1">
      <alignment vertical="center" wrapText="1"/>
    </xf>
    <xf numFmtId="0" fontId="58" fillId="6" borderId="9" xfId="0" applyFont="1" applyFill="1" applyBorder="1" applyAlignment="1">
      <alignment horizontal="center" vertical="center" wrapText="1"/>
    </xf>
    <xf numFmtId="0" fontId="59" fillId="0" borderId="6" xfId="0" applyFont="1" applyBorder="1" applyAlignment="1">
      <alignment vertical="center" wrapText="1"/>
    </xf>
    <xf numFmtId="0" fontId="58" fillId="0" borderId="6" xfId="0" applyFont="1" applyBorder="1" applyAlignment="1">
      <alignment vertical="center" wrapText="1"/>
    </xf>
    <xf numFmtId="0" fontId="59" fillId="0" borderId="6" xfId="0" applyFont="1" applyBorder="1" applyAlignment="1">
      <alignment horizontal="left" vertical="center" wrapText="1" indent="5"/>
    </xf>
    <xf numFmtId="0" fontId="59" fillId="0" borderId="7" xfId="0" applyFont="1" applyBorder="1" applyAlignment="1">
      <alignment vertical="center" wrapText="1"/>
    </xf>
    <xf numFmtId="0" fontId="58" fillId="0" borderId="9" xfId="0" applyFont="1" applyBorder="1" applyAlignment="1">
      <alignment vertical="center" wrapText="1"/>
    </xf>
    <xf numFmtId="0" fontId="59" fillId="0" borderId="9" xfId="0" applyFont="1" applyBorder="1" applyAlignment="1">
      <alignment vertical="center" wrapText="1"/>
    </xf>
    <xf numFmtId="0" fontId="65" fillId="0" borderId="7" xfId="0" applyFont="1" applyBorder="1" applyAlignment="1">
      <alignment horizontal="left" vertical="center"/>
    </xf>
    <xf numFmtId="0" fontId="59" fillId="0" borderId="7" xfId="0" applyFont="1" applyBorder="1" applyAlignment="1">
      <alignment horizontal="left" vertical="center"/>
    </xf>
    <xf numFmtId="0" fontId="58" fillId="6" borderId="3" xfId="0" applyFont="1" applyFill="1" applyBorder="1" applyAlignment="1">
      <alignment horizontal="center" vertical="center"/>
    </xf>
    <xf numFmtId="0" fontId="58" fillId="6" borderId="9" xfId="0" applyFont="1" applyFill="1" applyBorder="1" applyAlignment="1">
      <alignment horizontal="center" vertical="center"/>
    </xf>
    <xf numFmtId="0" fontId="59" fillId="0" borderId="6" xfId="0" applyFont="1" applyBorder="1" applyAlignment="1">
      <alignment vertical="center"/>
    </xf>
    <xf numFmtId="0" fontId="59" fillId="0" borderId="6" xfId="0" applyFont="1" applyBorder="1" applyAlignment="1">
      <alignment horizontal="left" vertical="center" indent="5"/>
    </xf>
    <xf numFmtId="0" fontId="59" fillId="0" borderId="6" xfId="0" applyFont="1" applyBorder="1" applyAlignment="1">
      <alignment horizontal="justify" vertical="center"/>
    </xf>
    <xf numFmtId="0" fontId="58" fillId="0" borderId="6" xfId="0" applyFont="1" applyBorder="1" applyAlignment="1">
      <alignment horizontal="left" vertical="center" indent="1"/>
    </xf>
    <xf numFmtId="0" fontId="59" fillId="0" borderId="9" xfId="0" applyFont="1" applyBorder="1" applyAlignment="1">
      <alignment horizontal="left" vertical="center" indent="1"/>
    </xf>
    <xf numFmtId="0" fontId="58" fillId="0" borderId="0" xfId="0" applyFont="1" applyBorder="1" applyAlignment="1">
      <alignment vertical="center"/>
    </xf>
    <xf numFmtId="0" fontId="58" fillId="0" borderId="5" xfId="0" applyFont="1" applyBorder="1" applyAlignment="1">
      <alignment horizontal="left" vertical="center" wrapText="1"/>
    </xf>
    <xf numFmtId="0" fontId="59" fillId="0" borderId="5" xfId="0" applyFont="1" applyBorder="1" applyAlignment="1">
      <alignment horizontal="left" vertical="center" wrapText="1"/>
    </xf>
    <xf numFmtId="0" fontId="59" fillId="0" borderId="5" xfId="0" applyFont="1" applyBorder="1" applyAlignment="1">
      <alignment horizontal="left" vertical="center" wrapText="1" indent="1"/>
    </xf>
    <xf numFmtId="0" fontId="58" fillId="0" borderId="7" xfId="0" applyFont="1" applyBorder="1" applyAlignment="1">
      <alignment horizontal="left" vertical="center" wrapText="1"/>
    </xf>
    <xf numFmtId="0" fontId="58" fillId="0" borderId="13" xfId="0" applyFont="1" applyBorder="1" applyAlignment="1">
      <alignment horizontal="center" vertical="center" wrapText="1"/>
    </xf>
    <xf numFmtId="0" fontId="58" fillId="0" borderId="9" xfId="0" applyFont="1" applyBorder="1" applyAlignment="1">
      <alignment horizontal="center" vertical="center" wrapText="1"/>
    </xf>
    <xf numFmtId="0" fontId="10" fillId="0" borderId="0" xfId="0" applyFont="1" applyFill="1" applyBorder="1" applyAlignment="1" applyProtection="1">
      <protection locked="0"/>
    </xf>
    <xf numFmtId="0" fontId="10" fillId="0" borderId="0" xfId="0" applyFont="1" applyFill="1" applyBorder="1" applyAlignment="1" applyProtection="1">
      <alignment vertical="top"/>
      <protection locked="0"/>
    </xf>
    <xf numFmtId="0" fontId="38" fillId="4" borderId="0" xfId="0" applyFont="1" applyFill="1" applyBorder="1" applyAlignment="1">
      <alignment vertical="center" wrapText="1"/>
    </xf>
    <xf numFmtId="0" fontId="57" fillId="4" borderId="0" xfId="0" applyFont="1" applyFill="1" applyBorder="1" applyAlignment="1">
      <alignment vertical="center" wrapText="1"/>
    </xf>
    <xf numFmtId="0" fontId="39" fillId="0" borderId="0" xfId="0" applyFont="1"/>
    <xf numFmtId="0" fontId="59" fillId="0" borderId="6" xfId="0" applyFont="1" applyBorder="1" applyAlignment="1">
      <alignment horizontal="right" vertical="center"/>
    </xf>
    <xf numFmtId="0" fontId="59" fillId="0" borderId="13" xfId="0" applyFont="1" applyBorder="1" applyAlignment="1">
      <alignment horizontal="right" vertical="center"/>
    </xf>
    <xf numFmtId="0" fontId="59" fillId="0" borderId="9" xfId="0" applyFont="1" applyBorder="1" applyAlignment="1">
      <alignment horizontal="right" vertical="center"/>
    </xf>
    <xf numFmtId="43" fontId="58" fillId="0" borderId="6" xfId="0" applyNumberFormat="1" applyFont="1" applyBorder="1" applyAlignment="1">
      <alignment horizontal="right" vertical="center" wrapText="1"/>
    </xf>
    <xf numFmtId="43" fontId="59" fillId="0" borderId="6" xfId="0" applyNumberFormat="1" applyFont="1" applyBorder="1" applyAlignment="1">
      <alignment horizontal="right" vertical="center" wrapText="1"/>
    </xf>
    <xf numFmtId="43" fontId="59" fillId="0" borderId="9" xfId="0" applyNumberFormat="1" applyFont="1" applyBorder="1" applyAlignment="1">
      <alignment horizontal="right" vertical="center" wrapText="1"/>
    </xf>
    <xf numFmtId="0" fontId="60" fillId="0" borderId="9" xfId="0" applyFont="1" applyBorder="1" applyAlignment="1">
      <alignment horizontal="right" vertical="center" wrapText="1"/>
    </xf>
    <xf numFmtId="43" fontId="25" fillId="0" borderId="6" xfId="0" applyNumberFormat="1" applyFont="1" applyBorder="1" applyAlignment="1">
      <alignment horizontal="right" vertical="center" wrapText="1"/>
    </xf>
    <xf numFmtId="0" fontId="58" fillId="0" borderId="52" xfId="0" applyFont="1" applyBorder="1" applyAlignment="1">
      <alignment vertical="center"/>
    </xf>
    <xf numFmtId="43" fontId="59" fillId="0" borderId="6" xfId="0" applyNumberFormat="1" applyFont="1" applyBorder="1" applyAlignment="1">
      <alignment horizontal="right" vertical="center"/>
    </xf>
    <xf numFmtId="43" fontId="59" fillId="0" borderId="9" xfId="0" applyNumberFormat="1" applyFont="1" applyBorder="1" applyAlignment="1">
      <alignment horizontal="right" vertical="center"/>
    </xf>
    <xf numFmtId="43" fontId="58" fillId="0" borderId="6" xfId="0" applyNumberFormat="1" applyFont="1" applyBorder="1" applyAlignment="1">
      <alignment horizontal="right" vertical="center"/>
    </xf>
    <xf numFmtId="0" fontId="59" fillId="0" borderId="6" xfId="0" applyFont="1" applyBorder="1" applyAlignment="1" applyProtection="1">
      <alignment horizontal="right" vertical="center"/>
    </xf>
    <xf numFmtId="43" fontId="59" fillId="0" borderId="6" xfId="0" applyNumberFormat="1" applyFont="1" applyBorder="1" applyAlignment="1" applyProtection="1">
      <alignment horizontal="right" vertical="center"/>
    </xf>
    <xf numFmtId="43" fontId="59" fillId="0" borderId="6" xfId="0" applyNumberFormat="1" applyFont="1" applyBorder="1" applyAlignment="1" applyProtection="1">
      <alignment horizontal="right" vertical="center"/>
      <protection locked="0"/>
    </xf>
    <xf numFmtId="43" fontId="59" fillId="0" borderId="9" xfId="0" applyNumberFormat="1" applyFont="1" applyBorder="1" applyAlignment="1" applyProtection="1">
      <alignment horizontal="right" vertical="center"/>
      <protection locked="0"/>
    </xf>
    <xf numFmtId="43" fontId="59" fillId="6" borderId="6" xfId="0" applyNumberFormat="1" applyFont="1" applyFill="1" applyBorder="1" applyAlignment="1" applyProtection="1">
      <alignment horizontal="right" vertical="center"/>
    </xf>
    <xf numFmtId="43" fontId="59" fillId="0" borderId="6" xfId="0" applyNumberFormat="1" applyFont="1" applyFill="1" applyBorder="1" applyAlignment="1" applyProtection="1">
      <alignment horizontal="right" vertical="center"/>
    </xf>
    <xf numFmtId="43" fontId="25" fillId="0" borderId="6" xfId="0" applyNumberFormat="1" applyFont="1" applyBorder="1" applyAlignment="1" applyProtection="1">
      <alignment horizontal="right" vertical="center" wrapText="1"/>
      <protection locked="0"/>
    </xf>
    <xf numFmtId="43" fontId="25" fillId="0" borderId="6" xfId="0" applyNumberFormat="1" applyFont="1" applyBorder="1" applyAlignment="1" applyProtection="1">
      <alignment horizontal="right" vertical="center" wrapText="1"/>
    </xf>
    <xf numFmtId="0" fontId="0" fillId="0" borderId="0" xfId="0" applyFill="1"/>
    <xf numFmtId="0" fontId="69" fillId="0" borderId="8" xfId="0" applyFont="1" applyBorder="1" applyAlignment="1">
      <alignment horizontal="left" vertical="center"/>
    </xf>
    <xf numFmtId="0" fontId="69" fillId="0" borderId="13" xfId="0" applyFont="1" applyBorder="1" applyAlignment="1">
      <alignment horizontal="center" vertical="center"/>
    </xf>
    <xf numFmtId="0" fontId="69" fillId="0" borderId="9" xfId="0" applyFont="1" applyBorder="1" applyAlignment="1">
      <alignment horizontal="center" vertical="center"/>
    </xf>
    <xf numFmtId="0" fontId="23" fillId="0" borderId="13" xfId="0" applyFont="1" applyBorder="1" applyAlignment="1">
      <alignment horizontal="justify" vertical="center" wrapText="1"/>
    </xf>
    <xf numFmtId="0" fontId="58" fillId="6" borderId="3" xfId="0" applyFont="1" applyFill="1" applyBorder="1" applyAlignment="1">
      <alignment horizontal="center" vertical="center" wrapText="1"/>
    </xf>
    <xf numFmtId="43" fontId="23" fillId="0" borderId="9" xfId="0" applyNumberFormat="1" applyFont="1" applyBorder="1" applyAlignment="1">
      <alignment horizontal="right" vertical="center" wrapText="1"/>
    </xf>
    <xf numFmtId="43" fontId="59" fillId="0" borderId="6" xfId="0" applyNumberFormat="1" applyFont="1" applyBorder="1" applyAlignment="1" applyProtection="1">
      <alignment horizontal="right" vertical="center" wrapText="1"/>
      <protection locked="0"/>
    </xf>
    <xf numFmtId="0" fontId="25" fillId="0" borderId="13" xfId="0" applyFont="1" applyBorder="1" applyAlignment="1">
      <alignment horizontal="left" vertical="center" wrapText="1"/>
    </xf>
    <xf numFmtId="0" fontId="25" fillId="0" borderId="8" xfId="0" applyFont="1" applyBorder="1" applyAlignment="1">
      <alignment horizontal="justify" vertical="center" wrapText="1"/>
    </xf>
    <xf numFmtId="0" fontId="25" fillId="0" borderId="9" xfId="0" applyFont="1" applyBorder="1" applyAlignment="1">
      <alignment horizontal="left" vertical="center" wrapText="1"/>
    </xf>
    <xf numFmtId="43" fontId="12" fillId="0" borderId="9" xfId="0" applyNumberFormat="1" applyFont="1" applyBorder="1" applyAlignment="1">
      <alignment horizontal="justify" vertical="center" wrapText="1"/>
    </xf>
    <xf numFmtId="0" fontId="12" fillId="0" borderId="8" xfId="0" applyFont="1" applyBorder="1" applyAlignment="1">
      <alignment horizontal="justify" vertical="center" wrapText="1"/>
    </xf>
    <xf numFmtId="0" fontId="12" fillId="0" borderId="9" xfId="0" applyFont="1" applyBorder="1" applyAlignment="1">
      <alignment horizontal="justify" vertical="center" wrapText="1"/>
    </xf>
    <xf numFmtId="0" fontId="25" fillId="0" borderId="6" xfId="0" applyFont="1" applyBorder="1" applyAlignment="1">
      <alignment horizontal="justify" vertical="center" wrapText="1"/>
    </xf>
    <xf numFmtId="0" fontId="12" fillId="0" borderId="0" xfId="0" applyFont="1" applyAlignment="1">
      <alignment horizontal="justify" vertical="center" wrapText="1"/>
    </xf>
    <xf numFmtId="0" fontId="12" fillId="0" borderId="6" xfId="0" applyFont="1" applyBorder="1" applyAlignment="1">
      <alignment horizontal="justify" vertical="center" wrapText="1"/>
    </xf>
    <xf numFmtId="0" fontId="25" fillId="0" borderId="0" xfId="0" applyFont="1" applyAlignment="1">
      <alignment horizontal="justify" vertical="center" wrapText="1"/>
    </xf>
    <xf numFmtId="0" fontId="12" fillId="0" borderId="4" xfId="0" applyFont="1" applyBorder="1" applyAlignment="1">
      <alignment horizontal="left" vertical="top" wrapText="1"/>
    </xf>
    <xf numFmtId="43" fontId="12" fillId="0" borderId="6" xfId="0" applyNumberFormat="1" applyFont="1" applyBorder="1" applyAlignment="1" applyProtection="1">
      <alignment horizontal="right" vertical="center" wrapText="1"/>
      <protection locked="0"/>
    </xf>
    <xf numFmtId="0" fontId="12" fillId="0" borderId="4" xfId="0" applyFont="1" applyBorder="1" applyAlignment="1">
      <alignment horizontal="justify" vertical="center" wrapText="1"/>
    </xf>
    <xf numFmtId="43" fontId="12" fillId="0" borderId="6" xfId="0" applyNumberFormat="1" applyFont="1" applyBorder="1" applyAlignment="1">
      <alignment horizontal="right" vertical="center" wrapText="1"/>
    </xf>
    <xf numFmtId="43" fontId="12" fillId="0" borderId="9" xfId="0" applyNumberFormat="1" applyFont="1" applyBorder="1" applyAlignment="1" applyProtection="1">
      <alignment horizontal="right" vertical="center" wrapText="1"/>
      <protection locked="0"/>
    </xf>
    <xf numFmtId="0" fontId="12" fillId="0" borderId="0" xfId="0" applyFont="1" applyBorder="1" applyAlignment="1">
      <alignment horizontal="justify" vertical="center" wrapText="1"/>
    </xf>
    <xf numFmtId="43" fontId="12" fillId="0" borderId="6" xfId="0" applyNumberFormat="1" applyFont="1" applyBorder="1" applyAlignment="1">
      <alignment horizontal="justify" vertical="center" wrapText="1"/>
    </xf>
    <xf numFmtId="43" fontId="25" fillId="0" borderId="9" xfId="0" applyNumberFormat="1" applyFont="1" applyBorder="1" applyAlignment="1">
      <alignment horizontal="right" vertical="center" wrapText="1"/>
    </xf>
    <xf numFmtId="43" fontId="58" fillId="6" borderId="6" xfId="0" applyNumberFormat="1" applyFont="1" applyFill="1" applyBorder="1" applyAlignment="1">
      <alignment horizontal="right" vertical="center" wrapText="1"/>
    </xf>
    <xf numFmtId="43" fontId="68" fillId="0" borderId="4" xfId="0" applyNumberFormat="1" applyFont="1" applyBorder="1" applyAlignment="1">
      <alignment vertical="center"/>
    </xf>
    <xf numFmtId="43" fontId="69" fillId="0" borderId="4" xfId="0" applyNumberFormat="1" applyFont="1" applyBorder="1" applyAlignment="1">
      <alignment vertical="center"/>
    </xf>
    <xf numFmtId="43" fontId="69" fillId="0" borderId="6" xfId="0" applyNumberFormat="1" applyFont="1" applyBorder="1" applyAlignment="1">
      <alignment vertical="center"/>
    </xf>
    <xf numFmtId="43" fontId="69" fillId="0" borderId="4" xfId="0" applyNumberFormat="1" applyFont="1" applyBorder="1" applyAlignment="1" applyProtection="1">
      <alignment vertical="center"/>
      <protection locked="0"/>
    </xf>
    <xf numFmtId="43" fontId="69" fillId="0" borderId="4" xfId="0" applyNumberFormat="1" applyFont="1" applyBorder="1" applyAlignment="1" applyProtection="1">
      <alignment vertical="center"/>
    </xf>
    <xf numFmtId="43" fontId="68" fillId="0" borderId="4" xfId="0" applyNumberFormat="1" applyFont="1" applyBorder="1" applyAlignment="1" applyProtection="1">
      <alignment vertical="center"/>
    </xf>
    <xf numFmtId="0" fontId="68" fillId="0" borderId="9" xfId="0" applyFont="1" applyFill="1" applyBorder="1" applyAlignment="1">
      <alignment horizontal="center" vertical="center" wrapText="1"/>
    </xf>
    <xf numFmtId="43" fontId="58" fillId="0" borderId="4" xfId="0" applyNumberFormat="1" applyFont="1" applyBorder="1" applyAlignment="1">
      <alignment horizontal="right" wrapText="1"/>
    </xf>
    <xf numFmtId="43" fontId="58" fillId="0" borderId="6" xfId="0" applyNumberFormat="1" applyFont="1" applyBorder="1" applyAlignment="1">
      <alignment horizontal="right" wrapText="1"/>
    </xf>
    <xf numFmtId="43" fontId="58" fillId="0" borderId="4" xfId="0" applyNumberFormat="1" applyFont="1" applyBorder="1" applyAlignment="1" applyProtection="1">
      <alignment horizontal="right" wrapText="1"/>
      <protection locked="0"/>
    </xf>
    <xf numFmtId="43" fontId="58" fillId="0" borderId="6" xfId="0" applyNumberFormat="1" applyFont="1" applyBorder="1" applyAlignment="1" applyProtection="1">
      <alignment horizontal="right" wrapText="1"/>
      <protection locked="0"/>
    </xf>
    <xf numFmtId="0" fontId="25" fillId="0" borderId="51" xfId="0" applyFont="1" applyBorder="1" applyAlignment="1">
      <alignment horizontal="justify" vertical="center" wrapText="1"/>
    </xf>
    <xf numFmtId="43" fontId="25" fillId="0" borderId="3" xfId="0" applyNumberFormat="1" applyFont="1" applyBorder="1" applyAlignment="1">
      <alignment horizontal="right" vertical="center" wrapText="1"/>
    </xf>
    <xf numFmtId="0" fontId="12" fillId="0" borderId="2" xfId="0" applyFont="1" applyBorder="1" applyAlignment="1">
      <alignment horizontal="justify" vertical="center" wrapText="1"/>
    </xf>
    <xf numFmtId="0" fontId="25" fillId="0" borderId="3" xfId="0" applyFont="1" applyBorder="1" applyAlignment="1">
      <alignment horizontal="justify" vertical="center" wrapText="1"/>
    </xf>
    <xf numFmtId="0" fontId="59" fillId="0" borderId="8" xfId="0" applyFont="1" applyBorder="1" applyAlignment="1">
      <alignment horizontal="left" vertical="center"/>
    </xf>
    <xf numFmtId="0" fontId="59" fillId="0" borderId="53" xfId="0" applyFont="1" applyBorder="1" applyAlignment="1">
      <alignment horizontal="left" vertical="justify"/>
    </xf>
    <xf numFmtId="0" fontId="12" fillId="0" borderId="6" xfId="0" applyFont="1" applyBorder="1" applyAlignment="1">
      <alignment horizontal="center" vertical="center" wrapText="1"/>
    </xf>
    <xf numFmtId="0" fontId="25" fillId="0" borderId="0" xfId="0" applyFont="1" applyFill="1" applyAlignment="1" applyProtection="1">
      <alignment vertical="center"/>
    </xf>
    <xf numFmtId="0" fontId="53" fillId="0" borderId="0" xfId="0" applyFont="1" applyFill="1"/>
    <xf numFmtId="43" fontId="12" fillId="0" borderId="6" xfId="0" applyNumberFormat="1" applyFont="1" applyBorder="1" applyAlignment="1">
      <alignmen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43" fontId="12" fillId="0" borderId="6" xfId="0" applyNumberFormat="1" applyFont="1" applyBorder="1" applyAlignment="1" applyProtection="1">
      <alignment vertical="center"/>
      <protection locked="0"/>
    </xf>
    <xf numFmtId="0" fontId="25" fillId="0" borderId="5" xfId="0" applyFont="1" applyBorder="1" applyAlignment="1">
      <alignment horizontal="justify" vertical="center"/>
    </xf>
    <xf numFmtId="0" fontId="25" fillId="0" borderId="6" xfId="0" applyFont="1" applyBorder="1" applyAlignment="1">
      <alignment horizontal="justify" vertical="center"/>
    </xf>
    <xf numFmtId="43" fontId="25" fillId="0" borderId="6" xfId="0" applyNumberFormat="1" applyFont="1" applyBorder="1" applyAlignment="1" applyProtection="1">
      <alignment vertical="center"/>
    </xf>
    <xf numFmtId="43" fontId="12" fillId="0" borderId="6" xfId="0" applyNumberFormat="1" applyFont="1" applyBorder="1" applyAlignment="1" applyProtection="1">
      <alignment vertical="center"/>
    </xf>
    <xf numFmtId="43" fontId="25" fillId="0" borderId="6" xfId="0" applyNumberFormat="1" applyFont="1" applyBorder="1" applyAlignment="1" applyProtection="1">
      <alignment vertical="center"/>
      <protection locked="0"/>
    </xf>
    <xf numFmtId="0" fontId="12" fillId="0" borderId="7" xfId="0" applyFont="1" applyBorder="1" applyAlignment="1">
      <alignment horizontal="left" vertical="center"/>
    </xf>
    <xf numFmtId="0" fontId="12" fillId="0" borderId="9" xfId="0" applyFont="1" applyBorder="1" applyAlignment="1">
      <alignment horizontal="left" vertical="center"/>
    </xf>
    <xf numFmtId="43" fontId="12" fillId="0" borderId="9" xfId="0" applyNumberFormat="1" applyFont="1" applyBorder="1" applyAlignment="1" applyProtection="1">
      <alignment vertical="center"/>
      <protection locked="0"/>
    </xf>
    <xf numFmtId="43" fontId="12" fillId="0" borderId="9" xfId="0" applyNumberFormat="1" applyFont="1" applyBorder="1" applyAlignment="1">
      <alignment vertical="center"/>
    </xf>
    <xf numFmtId="0" fontId="12" fillId="0" borderId="0" xfId="0" applyFont="1" applyBorder="1" applyAlignment="1">
      <alignment horizontal="left" vertical="center"/>
    </xf>
    <xf numFmtId="43" fontId="12" fillId="0" borderId="0" xfId="0" applyNumberFormat="1" applyFont="1" applyBorder="1" applyAlignment="1" applyProtection="1">
      <alignment vertical="center"/>
      <protection locked="0"/>
    </xf>
    <xf numFmtId="43" fontId="12" fillId="0" borderId="0" xfId="0" applyNumberFormat="1" applyFont="1" applyBorder="1" applyAlignment="1">
      <alignment vertical="center"/>
    </xf>
    <xf numFmtId="0" fontId="69" fillId="0" borderId="7" xfId="0" applyFont="1" applyBorder="1" applyAlignment="1">
      <alignment horizontal="left" vertical="center"/>
    </xf>
    <xf numFmtId="0" fontId="69" fillId="0" borderId="0" xfId="0" applyFont="1" applyBorder="1" applyAlignment="1">
      <alignment horizontal="left" vertical="center"/>
    </xf>
    <xf numFmtId="41" fontId="59" fillId="0" borderId="6" xfId="0" applyNumberFormat="1" applyFont="1" applyBorder="1" applyAlignment="1" applyProtection="1">
      <alignment vertical="center" wrapText="1"/>
      <protection locked="0"/>
    </xf>
    <xf numFmtId="0" fontId="40" fillId="0" borderId="0" xfId="0" applyFont="1" applyFill="1" applyAlignment="1" applyProtection="1">
      <alignment wrapText="1"/>
    </xf>
    <xf numFmtId="43" fontId="59" fillId="0" borderId="9" xfId="0" applyNumberFormat="1" applyFont="1" applyBorder="1" applyAlignment="1" applyProtection="1">
      <alignment horizontal="right" vertical="center"/>
    </xf>
    <xf numFmtId="43" fontId="58" fillId="0" borderId="6" xfId="0" applyNumberFormat="1" applyFont="1" applyBorder="1" applyAlignment="1" applyProtection="1">
      <alignment horizontal="right" vertical="center"/>
    </xf>
    <xf numFmtId="43" fontId="58" fillId="0" borderId="6" xfId="0" applyNumberFormat="1" applyFont="1" applyFill="1" applyBorder="1" applyAlignment="1">
      <alignment horizontal="right" vertical="center" wrapText="1"/>
    </xf>
    <xf numFmtId="43" fontId="25" fillId="0" borderId="9" xfId="0" applyNumberFormat="1" applyFont="1" applyFill="1" applyBorder="1" applyAlignment="1">
      <alignment horizontal="right" vertical="center" wrapText="1"/>
    </xf>
    <xf numFmtId="43" fontId="12" fillId="0" borderId="9" xfId="0" applyNumberFormat="1" applyFont="1" applyBorder="1" applyAlignment="1" applyProtection="1">
      <alignment vertical="center"/>
    </xf>
    <xf numFmtId="41" fontId="59" fillId="0" borderId="6" xfId="0" applyNumberFormat="1" applyFont="1" applyBorder="1" applyAlignment="1">
      <alignment vertical="center" wrapText="1"/>
    </xf>
    <xf numFmtId="41" fontId="59" fillId="0" borderId="6" xfId="0" applyNumberFormat="1" applyFont="1" applyBorder="1" applyAlignment="1">
      <alignment horizontal="right" vertical="center"/>
    </xf>
    <xf numFmtId="41" fontId="59" fillId="6" borderId="6" xfId="0" applyNumberFormat="1" applyFont="1" applyFill="1" applyBorder="1" applyAlignment="1">
      <alignment horizontal="right" vertical="center" wrapText="1"/>
    </xf>
    <xf numFmtId="41" fontId="58" fillId="0" borderId="6" xfId="0" applyNumberFormat="1" applyFont="1" applyBorder="1" applyAlignment="1">
      <alignment horizontal="right" vertical="center" wrapText="1"/>
    </xf>
    <xf numFmtId="41" fontId="58" fillId="0" borderId="6" xfId="0" applyNumberFormat="1" applyFont="1" applyBorder="1" applyAlignment="1">
      <alignment horizontal="right" vertical="center"/>
    </xf>
    <xf numFmtId="41" fontId="58" fillId="0" borderId="6" xfId="0" applyNumberFormat="1" applyFont="1" applyBorder="1" applyAlignment="1">
      <alignment vertical="center" wrapText="1"/>
    </xf>
    <xf numFmtId="41" fontId="58" fillId="0" borderId="6" xfId="0" applyNumberFormat="1" applyFont="1" applyBorder="1" applyAlignment="1" applyProtection="1">
      <alignment vertical="center" wrapText="1"/>
      <protection locked="0"/>
    </xf>
    <xf numFmtId="41" fontId="59" fillId="2" borderId="6" xfId="0" applyNumberFormat="1" applyFont="1" applyFill="1" applyBorder="1" applyAlignment="1" applyProtection="1">
      <alignment vertical="center" wrapText="1"/>
    </xf>
    <xf numFmtId="41" fontId="59" fillId="0" borderId="6" xfId="0" applyNumberFormat="1" applyFont="1" applyFill="1" applyBorder="1" applyAlignment="1">
      <alignment horizontal="right" vertical="center" wrapText="1"/>
    </xf>
    <xf numFmtId="0" fontId="68" fillId="0" borderId="6" xfId="0" applyFont="1" applyFill="1" applyBorder="1" applyAlignment="1">
      <alignment horizontal="center" vertical="center"/>
    </xf>
    <xf numFmtId="0" fontId="68" fillId="0" borderId="6" xfId="0" applyFont="1" applyFill="1" applyBorder="1" applyAlignment="1">
      <alignment horizontal="center" vertical="center" wrapText="1"/>
    </xf>
    <xf numFmtId="0" fontId="68" fillId="0" borderId="4" xfId="0" applyFont="1" applyFill="1" applyBorder="1" applyAlignment="1">
      <alignment horizontal="center" vertical="center"/>
    </xf>
    <xf numFmtId="43" fontId="58" fillId="0" borderId="6" xfId="0" applyNumberFormat="1" applyFont="1" applyFill="1" applyBorder="1" applyAlignment="1" applyProtection="1">
      <alignment horizontal="right" vertical="center" wrapText="1"/>
      <protection locked="0"/>
    </xf>
    <xf numFmtId="0" fontId="70" fillId="0" borderId="0" xfId="0" applyFont="1" applyAlignment="1" applyProtection="1">
      <protection locked="0"/>
    </xf>
    <xf numFmtId="0" fontId="71" fillId="0" borderId="0" xfId="0" applyFont="1" applyAlignment="1" applyProtection="1">
      <protection locked="0"/>
    </xf>
    <xf numFmtId="0" fontId="35" fillId="0" borderId="0" xfId="0" applyFont="1" applyFill="1" applyBorder="1" applyAlignment="1" applyProtection="1">
      <alignment horizontal="right" vertical="top"/>
      <protection locked="0"/>
    </xf>
    <xf numFmtId="0" fontId="70" fillId="0" borderId="0" xfId="0" applyFont="1" applyProtection="1">
      <protection locked="0"/>
    </xf>
    <xf numFmtId="0" fontId="72" fillId="0" borderId="0" xfId="0" applyFont="1" applyFill="1" applyProtection="1">
      <protection locked="0"/>
    </xf>
    <xf numFmtId="0" fontId="71" fillId="0" borderId="0" xfId="0" applyFont="1" applyProtection="1">
      <protection locked="0"/>
    </xf>
    <xf numFmtId="0" fontId="65" fillId="0" borderId="3" xfId="0" applyFont="1" applyBorder="1" applyAlignment="1">
      <alignment horizontal="center" vertical="center"/>
    </xf>
    <xf numFmtId="43" fontId="59" fillId="0" borderId="4" xfId="0" applyNumberFormat="1" applyFont="1" applyBorder="1" applyAlignment="1" applyProtection="1">
      <alignment horizontal="right" vertical="center"/>
      <protection locked="0"/>
    </xf>
    <xf numFmtId="43" fontId="59" fillId="0" borderId="4" xfId="0" applyNumberFormat="1" applyFont="1" applyBorder="1" applyAlignment="1" applyProtection="1">
      <alignment horizontal="right" vertical="center"/>
    </xf>
    <xf numFmtId="0" fontId="59" fillId="0" borderId="53" xfId="0" applyFont="1" applyBorder="1" applyAlignment="1">
      <alignment horizontal="left" vertical="center"/>
    </xf>
    <xf numFmtId="0" fontId="12" fillId="0" borderId="3" xfId="0" applyFont="1" applyBorder="1" applyAlignment="1">
      <alignment horizontal="center" vertical="center" wrapText="1"/>
    </xf>
    <xf numFmtId="0" fontId="32" fillId="0" borderId="0" xfId="0" applyFont="1" applyProtection="1">
      <protection locked="0"/>
    </xf>
    <xf numFmtId="0" fontId="6" fillId="0" borderId="8" xfId="0" applyFont="1" applyFill="1" applyBorder="1" applyAlignment="1" applyProtection="1">
      <alignment horizontal="center" vertical="top"/>
      <protection locked="0"/>
    </xf>
    <xf numFmtId="0" fontId="5" fillId="0" borderId="0" xfId="0" applyFont="1" applyFill="1" applyBorder="1" applyAlignment="1" applyProtection="1">
      <alignment horizontal="left" wrapText="1"/>
      <protection locked="0"/>
    </xf>
    <xf numFmtId="0" fontId="58" fillId="0" borderId="5" xfId="0" applyFont="1" applyBorder="1" applyAlignment="1">
      <alignment horizontal="justify" vertical="center" wrapText="1"/>
    </xf>
    <xf numFmtId="0" fontId="58" fillId="0" borderId="6" xfId="0" applyFont="1" applyBorder="1" applyAlignment="1">
      <alignment horizontal="justify" vertical="center" wrapText="1"/>
    </xf>
    <xf numFmtId="0" fontId="58" fillId="4" borderId="9" xfId="0" applyFont="1" applyFill="1" applyBorder="1" applyAlignment="1">
      <alignment horizontal="center" vertical="center" wrapText="1"/>
    </xf>
    <xf numFmtId="0" fontId="59" fillId="0" borderId="5" xfId="0" applyFont="1" applyBorder="1" applyAlignment="1">
      <alignment horizontal="justify" vertical="center" wrapText="1"/>
    </xf>
    <xf numFmtId="0" fontId="59" fillId="0" borderId="6" xfId="0" applyFont="1" applyBorder="1" applyAlignment="1">
      <alignment horizontal="justify" vertical="center" wrapText="1"/>
    </xf>
    <xf numFmtId="0" fontId="59" fillId="0" borderId="0" xfId="0" applyFont="1" applyBorder="1" applyAlignment="1">
      <alignment horizontal="left" vertical="center"/>
    </xf>
    <xf numFmtId="0" fontId="59" fillId="0" borderId="52" xfId="0" applyFont="1" applyBorder="1" applyAlignment="1">
      <alignment horizontal="left" vertical="center"/>
    </xf>
    <xf numFmtId="0" fontId="59" fillId="0" borderId="5" xfId="0" applyFont="1" applyBorder="1" applyAlignment="1">
      <alignment horizontal="left" vertical="center"/>
    </xf>
    <xf numFmtId="0" fontId="59" fillId="0" borderId="0" xfId="0" applyFont="1" applyBorder="1" applyAlignment="1">
      <alignment vertical="center"/>
    </xf>
    <xf numFmtId="0" fontId="59" fillId="0" borderId="52" xfId="0" applyFont="1" applyBorder="1" applyAlignment="1">
      <alignment vertical="center"/>
    </xf>
    <xf numFmtId="0" fontId="59" fillId="0" borderId="52" xfId="0" applyFont="1" applyBorder="1" applyAlignment="1">
      <alignment horizontal="left" vertical="justify"/>
    </xf>
    <xf numFmtId="0" fontId="3" fillId="0" borderId="49" xfId="0" applyFont="1" applyFill="1" applyBorder="1" applyAlignment="1" applyProtection="1">
      <alignment horizontal="center" vertical="center" wrapText="1"/>
      <protection locked="0"/>
    </xf>
    <xf numFmtId="0" fontId="25" fillId="0" borderId="9" xfId="0" applyFont="1" applyFill="1" applyBorder="1" applyAlignment="1">
      <alignment horizontal="center" vertical="center" wrapText="1"/>
    </xf>
    <xf numFmtId="0" fontId="58" fillId="6" borderId="12" xfId="0" applyFont="1" applyFill="1" applyBorder="1" applyAlignment="1">
      <alignment horizontal="center" vertical="center" wrapText="1"/>
    </xf>
    <xf numFmtId="0" fontId="58" fillId="6" borderId="51" xfId="0" applyFont="1" applyFill="1" applyBorder="1" applyAlignment="1">
      <alignment horizontal="center" vertical="center" wrapText="1"/>
    </xf>
    <xf numFmtId="0" fontId="58" fillId="6" borderId="13" xfId="0" applyFont="1" applyFill="1" applyBorder="1" applyAlignment="1">
      <alignment horizontal="center" vertical="center" wrapText="1"/>
    </xf>
    <xf numFmtId="0" fontId="32" fillId="0" borderId="0" xfId="0" applyFont="1" applyAlignment="1" applyProtection="1">
      <alignment horizontal="center"/>
      <protection locked="0"/>
    </xf>
    <xf numFmtId="0" fontId="33" fillId="0" borderId="7"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18" xfId="0" applyFont="1" applyBorder="1" applyAlignment="1" applyProtection="1">
      <alignment horizontal="center" vertical="center"/>
      <protection locked="0"/>
    </xf>
    <xf numFmtId="0" fontId="32" fillId="0" borderId="0" xfId="0" applyFont="1" applyFill="1" applyAlignment="1">
      <alignment horizontal="center"/>
    </xf>
    <xf numFmtId="0" fontId="33" fillId="0" borderId="2" xfId="0" applyFont="1" applyFill="1" applyBorder="1" applyAlignment="1">
      <alignment horizontal="center" vertical="center"/>
    </xf>
    <xf numFmtId="0" fontId="58" fillId="0" borderId="5" xfId="0" applyFont="1" applyBorder="1" applyAlignment="1">
      <alignment vertical="center"/>
    </xf>
    <xf numFmtId="0" fontId="59" fillId="0" borderId="5" xfId="0" applyFont="1" applyBorder="1" applyAlignment="1">
      <alignment vertical="center"/>
    </xf>
    <xf numFmtId="0" fontId="59" fillId="0" borderId="6" xfId="0" applyFont="1" applyBorder="1" applyAlignment="1">
      <alignment horizontal="left" vertical="center" indent="1"/>
    </xf>
    <xf numFmtId="0" fontId="58" fillId="0" borderId="6" xfId="0" applyFont="1" applyBorder="1" applyAlignment="1">
      <alignment vertical="center"/>
    </xf>
    <xf numFmtId="0" fontId="58" fillId="0" borderId="5" xfId="0" applyFont="1" applyBorder="1" applyAlignment="1">
      <alignment vertical="center" wrapText="1"/>
    </xf>
    <xf numFmtId="0" fontId="57" fillId="4" borderId="0" xfId="0" applyFont="1" applyFill="1" applyBorder="1" applyAlignment="1">
      <alignment horizontal="center" vertical="center" wrapText="1"/>
    </xf>
    <xf numFmtId="0" fontId="59" fillId="0" borderId="5" xfId="0" applyFont="1" applyBorder="1" applyAlignment="1">
      <alignment vertical="center" wrapText="1"/>
    </xf>
    <xf numFmtId="0" fontId="16" fillId="0" borderId="15" xfId="0" applyFont="1" applyFill="1" applyBorder="1" applyAlignment="1" applyProtection="1">
      <alignment vertical="center"/>
      <protection locked="0"/>
    </xf>
    <xf numFmtId="3" fontId="3" fillId="0" borderId="9" xfId="0" applyNumberFormat="1" applyFont="1" applyBorder="1" applyAlignment="1" applyProtection="1">
      <alignment horizontal="right" vertical="center" wrapText="1"/>
    </xf>
    <xf numFmtId="0" fontId="11" fillId="0" borderId="10" xfId="0" applyFont="1" applyBorder="1" applyAlignment="1" applyProtection="1">
      <alignment vertical="center" wrapText="1"/>
      <protection locked="0"/>
    </xf>
    <xf numFmtId="0" fontId="11" fillId="0" borderId="12" xfId="0" applyFont="1" applyBorder="1" applyAlignment="1" applyProtection="1">
      <alignment vertical="center" wrapText="1"/>
      <protection locked="0"/>
    </xf>
    <xf numFmtId="4" fontId="11" fillId="0" borderId="10" xfId="0" applyNumberFormat="1" applyFont="1" applyBorder="1" applyAlignment="1" applyProtection="1">
      <alignment vertical="center"/>
      <protection locked="0"/>
    </xf>
    <xf numFmtId="4" fontId="11" fillId="0" borderId="12" xfId="0" applyNumberFormat="1" applyFont="1" applyBorder="1" applyAlignment="1" applyProtection="1">
      <alignment vertical="center"/>
      <protection locked="0"/>
    </xf>
    <xf numFmtId="0" fontId="6" fillId="0" borderId="0" xfId="0" applyFont="1" applyAlignment="1">
      <alignment horizontal="center"/>
    </xf>
    <xf numFmtId="0" fontId="74" fillId="0" borderId="9" xfId="0" applyFont="1" applyBorder="1" applyAlignment="1">
      <alignment horizontal="justify" vertical="center" wrapText="1"/>
    </xf>
    <xf numFmtId="0" fontId="74" fillId="6" borderId="9" xfId="0" applyFont="1" applyFill="1" applyBorder="1" applyAlignment="1">
      <alignment horizontal="justify" vertical="center" wrapText="1"/>
    </xf>
    <xf numFmtId="0" fontId="74" fillId="6" borderId="6" xfId="0" applyFont="1" applyFill="1" applyBorder="1" applyAlignment="1">
      <alignment horizontal="justify" vertical="center" wrapText="1"/>
    </xf>
    <xf numFmtId="0" fontId="74" fillId="0" borderId="6" xfId="0" applyFont="1" applyBorder="1" applyAlignment="1">
      <alignment horizontal="justify" vertical="center" wrapText="1"/>
    </xf>
    <xf numFmtId="0" fontId="3" fillId="0" borderId="0" xfId="0" applyFont="1" applyFill="1" applyBorder="1" applyAlignment="1" applyProtection="1">
      <alignment horizontal="center" vertical="center"/>
      <protection locked="0"/>
    </xf>
    <xf numFmtId="0" fontId="1" fillId="0" borderId="0" xfId="0" applyFont="1" applyBorder="1" applyAlignment="1" applyProtection="1">
      <alignment horizontal="justify" vertical="center" wrapText="1"/>
      <protection locked="0"/>
    </xf>
    <xf numFmtId="0" fontId="1" fillId="0" borderId="8" xfId="0" applyFont="1" applyBorder="1" applyAlignment="1" applyProtection="1">
      <alignment horizontal="justify" vertical="center" wrapText="1"/>
      <protection locked="0"/>
    </xf>
    <xf numFmtId="0" fontId="3" fillId="0" borderId="51" xfId="0" applyFont="1" applyFill="1" applyBorder="1" applyAlignment="1" applyProtection="1">
      <alignment horizontal="center" vertical="center" wrapText="1"/>
      <protection locked="0"/>
    </xf>
    <xf numFmtId="49" fontId="3" fillId="4" borderId="13" xfId="0" applyNumberFormat="1" applyFont="1" applyFill="1" applyBorder="1" applyAlignment="1" applyProtection="1">
      <alignment horizontal="center" vertical="center" wrapText="1"/>
      <protection locked="0"/>
    </xf>
    <xf numFmtId="4" fontId="3" fillId="0" borderId="4" xfId="0" applyNumberFormat="1" applyFont="1" applyFill="1" applyBorder="1" applyAlignment="1" applyProtection="1">
      <alignment horizontal="right" vertical="center" wrapText="1"/>
      <protection locked="0"/>
    </xf>
    <xf numFmtId="4" fontId="3" fillId="0" borderId="4" xfId="0" applyNumberFormat="1" applyFont="1" applyFill="1" applyBorder="1" applyAlignment="1" applyProtection="1">
      <alignment horizontal="right" vertical="center" wrapText="1"/>
    </xf>
    <xf numFmtId="3" fontId="1" fillId="0" borderId="4" xfId="0" applyNumberFormat="1" applyFont="1" applyBorder="1" applyAlignment="1" applyProtection="1">
      <alignment horizontal="right" vertical="center" wrapText="1"/>
      <protection locked="0"/>
    </xf>
    <xf numFmtId="3" fontId="1" fillId="0" borderId="4" xfId="0" applyNumberFormat="1" applyFont="1" applyBorder="1" applyAlignment="1" applyProtection="1">
      <alignment horizontal="right" vertical="center" wrapText="1"/>
    </xf>
    <xf numFmtId="3" fontId="1" fillId="0" borderId="4" xfId="0" applyNumberFormat="1" applyFont="1" applyBorder="1" applyAlignment="1" applyProtection="1">
      <alignment horizontal="right" vertical="center"/>
      <protection locked="0"/>
    </xf>
    <xf numFmtId="3" fontId="1" fillId="0" borderId="13" xfId="0" applyNumberFormat="1" applyFont="1" applyBorder="1" applyAlignment="1" applyProtection="1">
      <alignment horizontal="right" vertical="center" wrapText="1"/>
      <protection locked="0"/>
    </xf>
    <xf numFmtId="3" fontId="1" fillId="0" borderId="13" xfId="0" applyNumberFormat="1" applyFont="1" applyBorder="1" applyAlignment="1" applyProtection="1">
      <alignment horizontal="right" vertical="center" wrapText="1"/>
    </xf>
    <xf numFmtId="3" fontId="3" fillId="0" borderId="13" xfId="0" applyNumberFormat="1" applyFont="1" applyBorder="1" applyAlignment="1" applyProtection="1">
      <alignment horizontal="right" vertical="center" wrapText="1"/>
    </xf>
    <xf numFmtId="0" fontId="69" fillId="0" borderId="5" xfId="0" applyFont="1" applyBorder="1" applyAlignment="1">
      <alignment horizontal="left" vertical="center"/>
    </xf>
    <xf numFmtId="0" fontId="68" fillId="0" borderId="9" xfId="0" applyFont="1" applyFill="1" applyBorder="1" applyAlignment="1">
      <alignment horizontal="center" vertical="center"/>
    </xf>
    <xf numFmtId="0" fontId="68" fillId="0" borderId="5" xfId="0" applyFont="1" applyFill="1" applyBorder="1" applyAlignment="1">
      <alignment horizontal="center" vertical="center"/>
    </xf>
    <xf numFmtId="0" fontId="25" fillId="0" borderId="9" xfId="0" applyFont="1" applyFill="1" applyBorder="1" applyAlignment="1">
      <alignment horizontal="center" vertical="center" wrapText="1"/>
    </xf>
    <xf numFmtId="0" fontId="75" fillId="0" borderId="9" xfId="0" applyFont="1" applyFill="1" applyBorder="1" applyAlignment="1">
      <alignment horizontal="center" vertical="center" wrapText="1"/>
    </xf>
    <xf numFmtId="0" fontId="21" fillId="0" borderId="41" xfId="0" applyFont="1" applyFill="1" applyBorder="1" applyAlignment="1" applyProtection="1">
      <alignment horizontal="center" vertical="center" wrapText="1"/>
      <protection locked="0"/>
    </xf>
    <xf numFmtId="0" fontId="6" fillId="0" borderId="5" xfId="0" applyFont="1" applyBorder="1" applyAlignment="1" applyProtection="1">
      <alignment horizontal="justify" vertical="top" wrapText="1"/>
      <protection locked="0"/>
    </xf>
    <xf numFmtId="0" fontId="6" fillId="0" borderId="0" xfId="0" applyFont="1" applyBorder="1" applyAlignment="1" applyProtection="1">
      <alignment horizontal="justify" vertical="top" wrapText="1"/>
      <protection locked="0"/>
    </xf>
    <xf numFmtId="0" fontId="27" fillId="0" borderId="41" xfId="0" applyFont="1" applyFill="1" applyBorder="1" applyAlignment="1" applyProtection="1">
      <alignment horizontal="center" vertical="center" wrapText="1"/>
      <protection locked="0"/>
    </xf>
    <xf numFmtId="0" fontId="27" fillId="0" borderId="40" xfId="0" applyFont="1" applyFill="1" applyBorder="1" applyAlignment="1" applyProtection="1">
      <alignment horizontal="center" vertical="center" wrapText="1"/>
      <protection locked="0"/>
    </xf>
    <xf numFmtId="43" fontId="5" fillId="0" borderId="17" xfId="12" applyFont="1" applyFill="1" applyBorder="1" applyAlignment="1" applyProtection="1">
      <alignment horizontal="right" vertical="center"/>
      <protection locked="0"/>
    </xf>
    <xf numFmtId="43" fontId="5" fillId="0" borderId="16" xfId="12" applyFont="1" applyFill="1" applyBorder="1" applyAlignment="1" applyProtection="1">
      <alignment horizontal="right" vertical="center"/>
      <protection locked="0"/>
    </xf>
    <xf numFmtId="43" fontId="16" fillId="0" borderId="15" xfId="12" applyFont="1" applyFill="1" applyBorder="1" applyAlignment="1" applyProtection="1">
      <alignment horizontal="justify" vertical="center"/>
      <protection locked="0"/>
    </xf>
    <xf numFmtId="43" fontId="16" fillId="0" borderId="16" xfId="12" applyFont="1" applyFill="1" applyBorder="1" applyAlignment="1" applyProtection="1">
      <alignment horizontal="justify" vertical="center"/>
      <protection locked="0"/>
    </xf>
    <xf numFmtId="43" fontId="16" fillId="0" borderId="22" xfId="12" applyFont="1" applyFill="1" applyBorder="1" applyAlignment="1" applyProtection="1">
      <alignment horizontal="justify" vertical="center"/>
      <protection locked="0"/>
    </xf>
    <xf numFmtId="4" fontId="19" fillId="0" borderId="47" xfId="0" applyNumberFormat="1" applyFont="1" applyFill="1" applyBorder="1" applyAlignment="1" applyProtection="1">
      <alignment horizontal="right" vertical="center"/>
    </xf>
    <xf numFmtId="0" fontId="38" fillId="7" borderId="13" xfId="0" applyFont="1" applyFill="1" applyBorder="1" applyAlignment="1">
      <alignment horizontal="center" vertical="center"/>
    </xf>
    <xf numFmtId="0" fontId="38" fillId="7" borderId="9" xfId="0" applyFont="1" applyFill="1" applyBorder="1" applyAlignment="1">
      <alignment horizontal="center" vertical="center" wrapText="1"/>
    </xf>
    <xf numFmtId="0" fontId="38" fillId="7" borderId="9" xfId="0" applyFont="1" applyFill="1" applyBorder="1" applyAlignment="1">
      <alignment horizontal="center" vertical="center"/>
    </xf>
    <xf numFmtId="0" fontId="56" fillId="0" borderId="58" xfId="0" applyFont="1" applyBorder="1" applyAlignment="1">
      <alignment horizontal="justify" vertical="center"/>
    </xf>
    <xf numFmtId="0" fontId="56" fillId="0" borderId="59" xfId="0" applyFont="1" applyBorder="1" applyAlignment="1">
      <alignment horizontal="center" vertical="center" wrapText="1"/>
    </xf>
    <xf numFmtId="0" fontId="56" fillId="0" borderId="59" xfId="0" applyFont="1" applyBorder="1" applyAlignment="1">
      <alignment horizontal="center" vertical="center"/>
    </xf>
    <xf numFmtId="0" fontId="57" fillId="0" borderId="58" xfId="0" applyFont="1" applyBorder="1" applyAlignment="1">
      <alignment horizontal="justify" vertical="center"/>
    </xf>
    <xf numFmtId="43" fontId="56" fillId="0" borderId="59" xfId="12" applyFont="1" applyBorder="1" applyAlignment="1">
      <alignment horizontal="center" vertical="center" wrapText="1"/>
    </xf>
    <xf numFmtId="0" fontId="56" fillId="2" borderId="59" xfId="0" applyFont="1" applyFill="1" applyBorder="1" applyAlignment="1" applyProtection="1">
      <alignment horizontal="center" vertical="center" wrapText="1"/>
    </xf>
    <xf numFmtId="0" fontId="56" fillId="2" borderId="59" xfId="0" applyFont="1" applyFill="1" applyBorder="1" applyAlignment="1" applyProtection="1">
      <alignment horizontal="center" vertical="center"/>
    </xf>
    <xf numFmtId="43" fontId="56" fillId="0" borderId="59" xfId="12" applyFont="1" applyBorder="1" applyAlignment="1">
      <alignment horizontal="center" vertical="center"/>
    </xf>
    <xf numFmtId="0" fontId="76" fillId="0" borderId="58" xfId="0" applyFont="1" applyBorder="1" applyAlignment="1">
      <alignment horizontal="justify" vertical="center"/>
    </xf>
    <xf numFmtId="43" fontId="65" fillId="0" borderId="59" xfId="12" applyFont="1" applyBorder="1" applyAlignment="1" applyProtection="1">
      <alignment horizontal="center" vertical="center" wrapText="1"/>
      <protection locked="0"/>
    </xf>
    <xf numFmtId="0" fontId="65" fillId="2" borderId="59" xfId="0" applyFont="1" applyFill="1" applyBorder="1" applyAlignment="1" applyProtection="1">
      <alignment horizontal="center" vertical="center" wrapText="1"/>
    </xf>
    <xf numFmtId="0" fontId="65" fillId="2" borderId="59" xfId="0" applyFont="1" applyFill="1" applyBorder="1" applyAlignment="1" applyProtection="1">
      <alignment horizontal="center" vertical="center"/>
    </xf>
    <xf numFmtId="0" fontId="56" fillId="0" borderId="59" xfId="0" applyFont="1" applyBorder="1" applyAlignment="1">
      <alignment horizontal="justify" vertical="center" wrapText="1"/>
    </xf>
    <xf numFmtId="0" fontId="56" fillId="0" borderId="59" xfId="0" applyFont="1" applyBorder="1" applyAlignment="1">
      <alignment horizontal="justify" vertical="center"/>
    </xf>
    <xf numFmtId="0" fontId="56" fillId="2" borderId="59" xfId="0" applyFont="1" applyFill="1" applyBorder="1" applyAlignment="1">
      <alignment horizontal="center" vertical="center" wrapText="1"/>
    </xf>
    <xf numFmtId="0" fontId="56" fillId="2" borderId="59" xfId="0" applyFont="1" applyFill="1" applyBorder="1" applyAlignment="1">
      <alignment horizontal="center" vertical="center"/>
    </xf>
    <xf numFmtId="0" fontId="65" fillId="2" borderId="59" xfId="0" applyFont="1" applyFill="1" applyBorder="1" applyAlignment="1">
      <alignment horizontal="center" vertical="center" wrapText="1"/>
    </xf>
    <xf numFmtId="0" fontId="65" fillId="2" borderId="59" xfId="0" applyFont="1" applyFill="1" applyBorder="1" applyAlignment="1">
      <alignment horizontal="center" vertical="center"/>
    </xf>
    <xf numFmtId="43" fontId="65" fillId="0" borderId="59" xfId="12" applyFont="1" applyBorder="1" applyAlignment="1" applyProtection="1">
      <alignment horizontal="center" vertical="center"/>
      <protection locked="0"/>
    </xf>
    <xf numFmtId="0" fontId="65" fillId="0" borderId="59" xfId="0" applyFont="1" applyBorder="1" applyAlignment="1">
      <alignment horizontal="center" vertical="center" wrapText="1"/>
    </xf>
    <xf numFmtId="0" fontId="65" fillId="0" borderId="59" xfId="0" applyFont="1" applyBorder="1" applyAlignment="1">
      <alignment horizontal="center" vertical="center"/>
    </xf>
    <xf numFmtId="0" fontId="57" fillId="0" borderId="13" xfId="0" applyFont="1" applyBorder="1" applyAlignment="1">
      <alignment horizontal="left" vertical="center"/>
    </xf>
    <xf numFmtId="0" fontId="56" fillId="0" borderId="9" xfId="0" applyFont="1" applyBorder="1" applyAlignment="1">
      <alignment horizontal="center" vertical="center" wrapText="1"/>
    </xf>
    <xf numFmtId="0" fontId="56" fillId="0" borderId="9" xfId="0" applyFont="1" applyBorder="1" applyAlignment="1">
      <alignment horizontal="center" vertical="center"/>
    </xf>
    <xf numFmtId="43" fontId="56" fillId="0" borderId="9" xfId="12" applyFont="1" applyBorder="1" applyAlignment="1">
      <alignment horizontal="center" vertical="center" wrapText="1"/>
    </xf>
    <xf numFmtId="43" fontId="56" fillId="0" borderId="9" xfId="12" applyFont="1" applyBorder="1" applyAlignment="1">
      <alignment horizontal="center" vertical="center"/>
    </xf>
    <xf numFmtId="0" fontId="57" fillId="0" borderId="13" xfId="0" applyFont="1" applyBorder="1" applyAlignment="1">
      <alignment horizontal="left" vertical="center" wrapText="1"/>
    </xf>
    <xf numFmtId="0" fontId="57" fillId="0" borderId="58" xfId="0" applyFont="1" applyBorder="1" applyAlignment="1">
      <alignment horizontal="left" vertical="center" wrapText="1"/>
    </xf>
    <xf numFmtId="0" fontId="77" fillId="0" borderId="0" xfId="13" applyFont="1" applyFill="1" applyBorder="1" applyAlignment="1">
      <alignment horizontal="left"/>
    </xf>
    <xf numFmtId="49" fontId="78" fillId="0" borderId="0" xfId="13" applyNumberFormat="1" applyFont="1" applyFill="1" applyBorder="1" applyAlignment="1">
      <alignment horizontal="left"/>
    </xf>
    <xf numFmtId="49" fontId="4" fillId="0" borderId="0" xfId="13" applyNumberFormat="1" applyFont="1" applyFill="1" applyBorder="1" applyAlignment="1">
      <alignment horizontal="center" vertical="top"/>
    </xf>
    <xf numFmtId="1" fontId="4" fillId="0" borderId="0" xfId="13" applyNumberFormat="1" applyFont="1" applyFill="1" applyBorder="1" applyAlignment="1">
      <alignment vertical="top"/>
    </xf>
    <xf numFmtId="1" fontId="79" fillId="0" borderId="0" xfId="13" applyNumberFormat="1" applyFont="1" applyFill="1" applyBorder="1" applyAlignment="1">
      <alignment vertical="top"/>
    </xf>
    <xf numFmtId="49" fontId="79" fillId="0" borderId="0" xfId="13" applyNumberFormat="1" applyFont="1" applyFill="1" applyBorder="1" applyAlignment="1">
      <alignment vertical="top"/>
    </xf>
    <xf numFmtId="49" fontId="4" fillId="0" borderId="0" xfId="13" applyNumberFormat="1" applyFont="1" applyFill="1" applyBorder="1" applyAlignment="1">
      <alignment vertical="top" wrapText="1"/>
    </xf>
    <xf numFmtId="1" fontId="80" fillId="2" borderId="19" xfId="13" applyNumberFormat="1" applyFont="1" applyFill="1" applyBorder="1" applyAlignment="1">
      <alignment horizontal="centerContinuous" wrapText="1"/>
    </xf>
    <xf numFmtId="1" fontId="78" fillId="2" borderId="19" xfId="13" applyNumberFormat="1" applyFont="1" applyFill="1" applyBorder="1" applyAlignment="1">
      <alignment horizontal="centerContinuous" wrapText="1"/>
    </xf>
    <xf numFmtId="1" fontId="78" fillId="2" borderId="19" xfId="13" applyNumberFormat="1" applyFont="1" applyFill="1" applyBorder="1" applyAlignment="1">
      <alignment horizontal="centerContinuous"/>
    </xf>
    <xf numFmtId="49" fontId="78" fillId="2" borderId="19" xfId="13" applyNumberFormat="1" applyFont="1" applyFill="1" applyBorder="1" applyAlignment="1">
      <alignment horizontal="centerContinuous"/>
    </xf>
    <xf numFmtId="0" fontId="78" fillId="2" borderId="19" xfId="13" applyFont="1" applyFill="1" applyBorder="1" applyAlignment="1">
      <alignment horizontal="center" wrapText="1"/>
    </xf>
    <xf numFmtId="1" fontId="79" fillId="2" borderId="19" xfId="13" applyNumberFormat="1" applyFont="1" applyFill="1" applyBorder="1" applyAlignment="1" applyProtection="1">
      <alignment horizontal="center"/>
      <protection locked="0"/>
    </xf>
    <xf numFmtId="1" fontId="79" fillId="2" borderId="19" xfId="13" applyNumberFormat="1" applyFont="1" applyFill="1" applyBorder="1" applyAlignment="1" applyProtection="1">
      <alignment horizontal="center" wrapText="1"/>
      <protection locked="0"/>
    </xf>
    <xf numFmtId="0" fontId="79" fillId="2" borderId="19" xfId="13" applyFont="1" applyFill="1" applyBorder="1" applyAlignment="1">
      <alignment horizontal="center" wrapText="1"/>
    </xf>
    <xf numFmtId="0" fontId="79" fillId="0" borderId="20" xfId="13" applyFont="1" applyFill="1" applyBorder="1" applyAlignment="1">
      <alignment horizontal="center" vertical="top" wrapText="1"/>
    </xf>
    <xf numFmtId="49" fontId="79" fillId="0" borderId="60" xfId="13" applyNumberFormat="1" applyFont="1" applyFill="1" applyBorder="1" applyAlignment="1">
      <alignment horizontal="center" vertical="top" wrapText="1"/>
    </xf>
    <xf numFmtId="49" fontId="79" fillId="0" borderId="33" xfId="13" applyNumberFormat="1" applyFont="1" applyFill="1" applyBorder="1" applyAlignment="1">
      <alignment horizontal="center" vertical="top" wrapText="1"/>
    </xf>
    <xf numFmtId="1" fontId="79" fillId="0" borderId="33" xfId="13" applyNumberFormat="1" applyFont="1" applyFill="1" applyBorder="1" applyAlignment="1" applyProtection="1">
      <alignment horizontal="center" vertical="top"/>
      <protection locked="0"/>
    </xf>
    <xf numFmtId="1" fontId="79" fillId="0" borderId="33" xfId="13" applyNumberFormat="1" applyFont="1" applyFill="1" applyBorder="1" applyAlignment="1" applyProtection="1">
      <alignment horizontal="center" vertical="top" wrapText="1"/>
      <protection locked="0"/>
    </xf>
    <xf numFmtId="0" fontId="79" fillId="0" borderId="37" xfId="13" applyFont="1" applyFill="1" applyBorder="1" applyAlignment="1">
      <alignment horizontal="center" vertical="top" wrapText="1"/>
    </xf>
    <xf numFmtId="0" fontId="79" fillId="0" borderId="19" xfId="13" applyFont="1" applyFill="1" applyBorder="1" applyAlignment="1">
      <alignment horizontal="center" vertical="top" wrapText="1"/>
    </xf>
    <xf numFmtId="0" fontId="80" fillId="0" borderId="19" xfId="1" applyFont="1" applyFill="1" applyBorder="1" applyAlignment="1">
      <alignment vertical="top"/>
    </xf>
    <xf numFmtId="2" fontId="81" fillId="0" borderId="19" xfId="6" quotePrefix="1" applyNumberFormat="1" applyFont="1" applyFill="1" applyBorder="1" applyAlignment="1">
      <alignment horizontal="left" vertical="top" wrapText="1"/>
    </xf>
    <xf numFmtId="0" fontId="82" fillId="0" borderId="0" xfId="1" applyFont="1" applyFill="1" applyBorder="1" applyAlignment="1">
      <alignment vertical="top"/>
    </xf>
    <xf numFmtId="0" fontId="80" fillId="0" borderId="19" xfId="0" applyFont="1" applyFill="1" applyBorder="1" applyAlignment="1">
      <alignment vertical="top"/>
    </xf>
    <xf numFmtId="2" fontId="79" fillId="0" borderId="19" xfId="1" applyNumberFormat="1" applyFont="1" applyFill="1" applyBorder="1" applyAlignment="1">
      <alignment horizontal="left" vertical="top"/>
    </xf>
    <xf numFmtId="2" fontId="79" fillId="0" borderId="19" xfId="6" applyNumberFormat="1" applyFont="1" applyFill="1" applyBorder="1" applyAlignment="1">
      <alignment horizontal="left" vertical="top"/>
    </xf>
    <xf numFmtId="49" fontId="79" fillId="0" borderId="0" xfId="1" applyNumberFormat="1" applyFont="1" applyFill="1" applyBorder="1" applyAlignment="1">
      <alignment horizontal="center" vertical="top"/>
    </xf>
    <xf numFmtId="0" fontId="79" fillId="0" borderId="0" xfId="1" applyFont="1" applyFill="1" applyBorder="1" applyAlignment="1">
      <alignment vertical="top"/>
    </xf>
    <xf numFmtId="0" fontId="79" fillId="0" borderId="0" xfId="1" applyFont="1" applyFill="1" applyBorder="1" applyAlignment="1">
      <alignment horizontal="center" vertical="top"/>
    </xf>
    <xf numFmtId="49" fontId="85" fillId="0" borderId="0" xfId="1" applyNumberFormat="1" applyFont="1" applyFill="1" applyBorder="1" applyAlignment="1">
      <alignment horizontal="left" vertical="top"/>
    </xf>
    <xf numFmtId="0" fontId="82" fillId="0" borderId="0" xfId="1" applyFont="1" applyFill="1" applyBorder="1" applyAlignment="1">
      <alignment horizontal="center" vertical="top"/>
    </xf>
    <xf numFmtId="49" fontId="82" fillId="0" borderId="0" xfId="1" applyNumberFormat="1" applyFont="1" applyFill="1" applyBorder="1" applyAlignment="1">
      <alignment horizontal="center" vertical="top"/>
    </xf>
    <xf numFmtId="0" fontId="88" fillId="9" borderId="67" xfId="0" applyFont="1" applyFill="1" applyBorder="1" applyAlignment="1">
      <alignment horizontal="center" vertical="top"/>
    </xf>
    <xf numFmtId="0" fontId="88" fillId="9" borderId="67" xfId="0" applyFont="1" applyFill="1" applyBorder="1" applyAlignment="1">
      <alignment horizontal="center" vertical="top" wrapText="1"/>
    </xf>
    <xf numFmtId="0" fontId="88" fillId="9" borderId="67" xfId="0" applyFont="1" applyFill="1" applyBorder="1" applyAlignment="1">
      <alignment horizontal="center" vertical="center"/>
    </xf>
    <xf numFmtId="0" fontId="88" fillId="9" borderId="67" xfId="0" applyFont="1" applyFill="1" applyBorder="1" applyAlignment="1">
      <alignment horizontal="center" vertical="center" wrapText="1"/>
    </xf>
    <xf numFmtId="0" fontId="88" fillId="9" borderId="67" xfId="0" applyFont="1" applyFill="1" applyBorder="1" applyAlignment="1">
      <alignment horizontal="center" wrapText="1"/>
    </xf>
    <xf numFmtId="0" fontId="89" fillId="2" borderId="67" xfId="0" applyFont="1" applyFill="1" applyBorder="1" applyAlignment="1">
      <alignment horizontal="center" vertical="center" wrapText="1"/>
    </xf>
    <xf numFmtId="2" fontId="90" fillId="2" borderId="67" xfId="0" applyNumberFormat="1" applyFont="1" applyFill="1" applyBorder="1" applyAlignment="1">
      <alignment horizontal="center" vertical="center" wrapText="1"/>
    </xf>
    <xf numFmtId="2" fontId="90" fillId="2" borderId="67" xfId="0" applyNumberFormat="1" applyFont="1" applyFill="1" applyBorder="1" applyAlignment="1">
      <alignment horizontal="center" vertical="center"/>
    </xf>
    <xf numFmtId="0" fontId="0" fillId="2" borderId="68" xfId="0" applyFill="1" applyBorder="1" applyAlignment="1">
      <alignment horizontal="center" vertical="center" wrapText="1"/>
    </xf>
    <xf numFmtId="9" fontId="0" fillId="2" borderId="69" xfId="0" applyNumberFormat="1" applyFill="1" applyBorder="1" applyAlignment="1">
      <alignment horizontal="center" vertical="center"/>
    </xf>
    <xf numFmtId="0" fontId="88" fillId="9" borderId="70" xfId="0" applyFont="1" applyFill="1" applyBorder="1" applyAlignment="1">
      <alignment vertical="center"/>
    </xf>
    <xf numFmtId="0" fontId="0" fillId="2" borderId="0" xfId="0" applyFill="1"/>
    <xf numFmtId="0" fontId="0" fillId="2" borderId="72" xfId="0" applyFill="1" applyBorder="1"/>
    <xf numFmtId="0" fontId="88" fillId="9" borderId="73" xfId="0" applyFont="1" applyFill="1" applyBorder="1" applyAlignment="1">
      <alignment vertical="center"/>
    </xf>
    <xf numFmtId="0" fontId="0" fillId="2" borderId="0" xfId="0" applyFill="1" applyAlignment="1">
      <alignment horizontal="center" vertical="top"/>
    </xf>
    <xf numFmtId="9" fontId="0" fillId="2" borderId="75" xfId="0" applyNumberFormat="1" applyFill="1" applyBorder="1" applyAlignment="1">
      <alignment horizontal="center" vertical="top"/>
    </xf>
    <xf numFmtId="0" fontId="90" fillId="2" borderId="67" xfId="0" applyFont="1" applyFill="1" applyBorder="1" applyAlignment="1">
      <alignment horizontal="center" vertical="center" wrapText="1"/>
    </xf>
    <xf numFmtId="0" fontId="0" fillId="2" borderId="77" xfId="0" applyFill="1" applyBorder="1" applyAlignment="1">
      <alignment horizontal="center" vertical="center" wrapText="1"/>
    </xf>
    <xf numFmtId="9" fontId="0" fillId="2" borderId="78" xfId="0" applyNumberFormat="1" applyFill="1" applyBorder="1" applyAlignment="1">
      <alignment horizontal="center" vertical="center"/>
    </xf>
    <xf numFmtId="3" fontId="90" fillId="2" borderId="67" xfId="0" applyNumberFormat="1" applyFont="1" applyFill="1" applyBorder="1" applyAlignment="1">
      <alignment horizontal="center" vertical="center" wrapText="1"/>
    </xf>
    <xf numFmtId="0" fontId="0" fillId="2" borderId="77" xfId="0" applyFill="1" applyBorder="1" applyAlignment="1">
      <alignment horizontal="center" vertical="center"/>
    </xf>
    <xf numFmtId="10" fontId="0" fillId="2" borderId="78" xfId="0" applyNumberFormat="1" applyFill="1" applyBorder="1" applyAlignment="1">
      <alignment horizontal="center" vertical="center"/>
    </xf>
    <xf numFmtId="0" fontId="89" fillId="2" borderId="70" xfId="0" applyFont="1" applyFill="1" applyBorder="1" applyAlignment="1">
      <alignment horizontal="center" vertical="center" wrapText="1"/>
    </xf>
    <xf numFmtId="0" fontId="0" fillId="2" borderId="80" xfId="0" applyFill="1" applyBorder="1" applyAlignment="1">
      <alignment horizontal="center" vertical="center" wrapText="1"/>
    </xf>
    <xf numFmtId="10" fontId="0" fillId="2" borderId="72" xfId="0" applyNumberFormat="1" applyFill="1" applyBorder="1" applyAlignment="1">
      <alignment horizontal="center" vertical="center"/>
    </xf>
    <xf numFmtId="0" fontId="89" fillId="2" borderId="73" xfId="0" applyFont="1" applyFill="1" applyBorder="1" applyAlignment="1">
      <alignment vertical="center" wrapText="1"/>
    </xf>
    <xf numFmtId="0" fontId="0" fillId="2" borderId="81" xfId="0" applyFill="1" applyBorder="1"/>
    <xf numFmtId="0" fontId="0" fillId="2" borderId="80" xfId="0" applyFill="1" applyBorder="1"/>
    <xf numFmtId="0" fontId="89" fillId="2" borderId="74" xfId="0" applyFont="1" applyFill="1" applyBorder="1" applyAlignment="1">
      <alignment horizontal="center" vertical="center" wrapText="1"/>
    </xf>
    <xf numFmtId="0" fontId="89" fillId="2" borderId="73" xfId="0" applyFont="1" applyFill="1" applyBorder="1" applyAlignment="1">
      <alignment horizontal="center" vertical="center" wrapText="1"/>
    </xf>
    <xf numFmtId="0" fontId="90" fillId="2" borderId="73" xfId="0" applyFont="1" applyFill="1" applyBorder="1" applyAlignment="1">
      <alignment horizontal="center" vertical="center" wrapText="1"/>
    </xf>
    <xf numFmtId="1" fontId="90" fillId="2" borderId="73" xfId="0" applyNumberFormat="1" applyFont="1" applyFill="1" applyBorder="1" applyAlignment="1">
      <alignment horizontal="center" vertical="center" wrapText="1"/>
    </xf>
    <xf numFmtId="0" fontId="89" fillId="2" borderId="83" xfId="0" applyFont="1" applyFill="1" applyBorder="1" applyAlignment="1">
      <alignment horizontal="center" vertical="center" wrapText="1"/>
    </xf>
    <xf numFmtId="0" fontId="0" fillId="2" borderId="84" xfId="0" applyFill="1" applyBorder="1" applyAlignment="1">
      <alignment horizontal="center" vertical="center"/>
    </xf>
    <xf numFmtId="1" fontId="90" fillId="2" borderId="67" xfId="0" applyNumberFormat="1" applyFont="1" applyFill="1" applyBorder="1" applyAlignment="1">
      <alignment horizontal="center" vertical="center" wrapText="1"/>
    </xf>
    <xf numFmtId="0" fontId="0" fillId="2" borderId="85" xfId="0" applyFill="1" applyBorder="1" applyAlignment="1">
      <alignment horizontal="center" vertical="center"/>
    </xf>
    <xf numFmtId="10" fontId="0" fillId="2" borderId="0" xfId="0" applyNumberFormat="1" applyFill="1" applyAlignment="1">
      <alignment horizontal="center" vertical="center"/>
    </xf>
    <xf numFmtId="0" fontId="0" fillId="2" borderId="86" xfId="0" applyFill="1" applyBorder="1" applyAlignment="1">
      <alignment horizontal="center" vertical="center"/>
    </xf>
    <xf numFmtId="0" fontId="0" fillId="2" borderId="86" xfId="0" applyFill="1" applyBorder="1" applyAlignment="1">
      <alignment horizontal="center" vertical="center" wrapText="1"/>
    </xf>
    <xf numFmtId="0" fontId="0" fillId="2" borderId="0" xfId="0" applyFill="1" applyAlignment="1">
      <alignment horizontal="center" vertical="center" wrapText="1"/>
    </xf>
    <xf numFmtId="0" fontId="89" fillId="2" borderId="0" xfId="0" applyFont="1" applyFill="1" applyBorder="1" applyAlignment="1">
      <alignment horizontal="center" vertical="center" wrapText="1"/>
    </xf>
    <xf numFmtId="0" fontId="0" fillId="2" borderId="72" xfId="0" applyFill="1" applyBorder="1" applyAlignment="1">
      <alignment horizontal="center" vertical="center" wrapText="1"/>
    </xf>
    <xf numFmtId="0" fontId="89" fillId="2" borderId="71" xfId="0" applyFont="1" applyFill="1" applyBorder="1" applyAlignment="1">
      <alignment horizontal="center" vertical="center" wrapText="1"/>
    </xf>
    <xf numFmtId="0" fontId="90" fillId="2" borderId="76" xfId="0" applyFont="1" applyFill="1" applyBorder="1" applyAlignment="1">
      <alignment horizontal="center" vertical="center" wrapText="1"/>
    </xf>
    <xf numFmtId="0" fontId="90" fillId="2" borderId="0" xfId="0" applyFont="1" applyFill="1" applyBorder="1" applyAlignment="1">
      <alignment horizontal="center" vertical="center" wrapText="1"/>
    </xf>
    <xf numFmtId="0" fontId="89" fillId="2" borderId="86" xfId="0" applyFont="1" applyFill="1" applyBorder="1" applyAlignment="1">
      <alignment horizontal="center" vertical="center" wrapText="1"/>
    </xf>
    <xf numFmtId="0" fontId="0" fillId="2" borderId="87" xfId="0" applyFill="1" applyBorder="1" applyAlignment="1">
      <alignment horizontal="center" vertical="center" wrapText="1"/>
    </xf>
    <xf numFmtId="10" fontId="0" fillId="2" borderId="80" xfId="0" applyNumberFormat="1" applyFill="1" applyBorder="1" applyAlignment="1">
      <alignment horizontal="center" vertical="center"/>
    </xf>
    <xf numFmtId="0" fontId="0" fillId="0" borderId="66" xfId="0" applyBorder="1"/>
    <xf numFmtId="0" fontId="39" fillId="0" borderId="0" xfId="0" applyFont="1" applyAlignment="1"/>
    <xf numFmtId="0" fontId="0" fillId="0" borderId="0" xfId="0" applyAlignment="1"/>
    <xf numFmtId="0" fontId="3" fillId="0" borderId="89" xfId="0" applyFont="1" applyFill="1" applyBorder="1" applyAlignment="1" applyProtection="1">
      <alignment horizontal="center" vertical="center" wrapText="1"/>
      <protection locked="0"/>
    </xf>
    <xf numFmtId="0" fontId="3" fillId="4" borderId="89"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6" xfId="0" applyFont="1" applyBorder="1" applyAlignment="1" applyProtection="1">
      <alignment horizontal="left" vertical="center" wrapText="1"/>
      <protection locked="0"/>
    </xf>
    <xf numFmtId="0" fontId="22" fillId="0" borderId="0" xfId="0" applyFont="1" applyAlignment="1" applyProtection="1">
      <alignment vertical="center"/>
      <protection locked="0"/>
    </xf>
    <xf numFmtId="0" fontId="22" fillId="0" borderId="0" xfId="0" applyFont="1" applyAlignment="1" applyProtection="1">
      <alignment vertical="center"/>
    </xf>
    <xf numFmtId="0" fontId="92" fillId="0" borderId="0" xfId="0" applyFont="1" applyBorder="1" applyAlignment="1" applyProtection="1">
      <alignment horizontal="center" vertical="center"/>
      <protection locked="0"/>
    </xf>
    <xf numFmtId="0" fontId="93" fillId="0" borderId="0" xfId="0" applyFont="1" applyBorder="1" applyAlignment="1" applyProtection="1">
      <alignment horizontal="left" vertical="center"/>
      <protection locked="0"/>
    </xf>
    <xf numFmtId="4" fontId="93" fillId="0" borderId="0" xfId="0" applyNumberFormat="1" applyFont="1" applyBorder="1" applyAlignment="1" applyProtection="1">
      <alignment horizontal="right" vertical="center" wrapText="1"/>
      <protection locked="0"/>
    </xf>
    <xf numFmtId="4" fontId="93" fillId="0" borderId="0" xfId="0" applyNumberFormat="1" applyFont="1" applyBorder="1" applyAlignment="1" applyProtection="1">
      <alignment vertical="center"/>
      <protection locked="0"/>
    </xf>
    <xf numFmtId="0" fontId="96" fillId="0" borderId="0" xfId="0" applyFont="1" applyAlignment="1" applyProtection="1">
      <alignment vertical="center"/>
      <protection locked="0"/>
    </xf>
    <xf numFmtId="0" fontId="93" fillId="0" borderId="0" xfId="0" applyFont="1" applyAlignment="1" applyProtection="1">
      <alignment vertical="center"/>
      <protection locked="0"/>
    </xf>
    <xf numFmtId="0" fontId="0" fillId="11" borderId="16" xfId="0" applyFill="1" applyBorder="1" applyAlignment="1">
      <alignment horizontal="center"/>
    </xf>
    <xf numFmtId="1" fontId="0" fillId="11" borderId="16" xfId="0" applyNumberFormat="1" applyFill="1" applyBorder="1" applyAlignment="1">
      <alignment horizontal="center"/>
    </xf>
    <xf numFmtId="0" fontId="98" fillId="12" borderId="25" xfId="0" applyFont="1" applyFill="1" applyBorder="1" applyAlignment="1">
      <alignment horizontal="center" vertical="center" textRotation="90" wrapText="1"/>
    </xf>
    <xf numFmtId="0" fontId="98" fillId="12" borderId="24" xfId="0" applyFont="1" applyFill="1" applyBorder="1" applyAlignment="1">
      <alignment horizontal="center" vertical="center" textRotation="90" wrapText="1"/>
    </xf>
    <xf numFmtId="0" fontId="98" fillId="12" borderId="90" xfId="0" applyFont="1" applyFill="1" applyBorder="1" applyAlignment="1">
      <alignment horizontal="center" vertical="center" textRotation="90" wrapText="1"/>
    </xf>
    <xf numFmtId="0" fontId="98" fillId="12" borderId="91" xfId="0" applyFont="1" applyFill="1" applyBorder="1" applyAlignment="1">
      <alignment horizontal="center" vertical="center" textRotation="90" wrapText="1"/>
    </xf>
    <xf numFmtId="0" fontId="57" fillId="13" borderId="92" xfId="0" applyFont="1" applyFill="1" applyBorder="1" applyAlignment="1">
      <alignment horizontal="center" vertical="center" textRotation="90" wrapText="1"/>
    </xf>
    <xf numFmtId="0" fontId="57" fillId="13" borderId="24" xfId="0" applyFont="1" applyFill="1" applyBorder="1" applyAlignment="1">
      <alignment horizontal="center" vertical="center" textRotation="90" wrapText="1"/>
    </xf>
    <xf numFmtId="0" fontId="57" fillId="13" borderId="91" xfId="0" applyFont="1" applyFill="1" applyBorder="1" applyAlignment="1">
      <alignment horizontal="center" vertical="center" textRotation="90" wrapText="1"/>
    </xf>
    <xf numFmtId="0" fontId="57" fillId="14" borderId="25" xfId="0" applyFont="1" applyFill="1" applyBorder="1" applyAlignment="1">
      <alignment horizontal="center" vertical="center" textRotation="90" wrapText="1"/>
    </xf>
    <xf numFmtId="0" fontId="57" fillId="14" borderId="91" xfId="0" applyFont="1" applyFill="1" applyBorder="1" applyAlignment="1">
      <alignment horizontal="center" vertical="center" textRotation="90" wrapText="1"/>
    </xf>
    <xf numFmtId="0" fontId="57" fillId="10" borderId="25" xfId="0" applyFont="1" applyFill="1" applyBorder="1" applyAlignment="1">
      <alignment horizontal="center" vertical="center" textRotation="90"/>
    </xf>
    <xf numFmtId="0" fontId="57" fillId="10" borderId="24" xfId="0" applyFont="1" applyFill="1" applyBorder="1" applyAlignment="1">
      <alignment horizontal="center" vertical="center" textRotation="90"/>
    </xf>
    <xf numFmtId="0" fontId="57" fillId="15" borderId="24" xfId="0" applyFont="1" applyFill="1" applyBorder="1" applyAlignment="1">
      <alignment horizontal="center" vertical="center" textRotation="90"/>
    </xf>
    <xf numFmtId="0" fontId="57" fillId="15" borderId="91" xfId="0" applyFont="1" applyFill="1" applyBorder="1" applyAlignment="1">
      <alignment horizontal="center" vertical="center" textRotation="90"/>
    </xf>
    <xf numFmtId="0" fontId="57" fillId="15" borderId="91" xfId="0" applyFont="1" applyFill="1" applyBorder="1" applyAlignment="1">
      <alignment horizontal="center" vertical="center" textRotation="90" wrapText="1"/>
    </xf>
    <xf numFmtId="0" fontId="32" fillId="0" borderId="19" xfId="0" applyFont="1" applyBorder="1" applyAlignment="1">
      <alignment horizontal="center"/>
    </xf>
    <xf numFmtId="0" fontId="32" fillId="0" borderId="19" xfId="0" applyFont="1" applyBorder="1" applyAlignment="1"/>
    <xf numFmtId="0" fontId="33" fillId="2" borderId="32" xfId="0" applyFont="1" applyFill="1" applyBorder="1" applyAlignment="1">
      <alignment vertical="center"/>
    </xf>
    <xf numFmtId="0" fontId="33" fillId="2" borderId="33" xfId="0" applyFont="1" applyFill="1" applyBorder="1" applyAlignment="1">
      <alignment vertical="center"/>
    </xf>
    <xf numFmtId="0" fontId="33" fillId="2" borderId="34" xfId="0" applyFont="1" applyFill="1" applyBorder="1" applyAlignment="1">
      <alignment vertical="center"/>
    </xf>
    <xf numFmtId="0" fontId="32" fillId="0" borderId="0" xfId="0" applyFont="1" applyBorder="1" applyAlignment="1">
      <alignment horizontal="center"/>
    </xf>
    <xf numFmtId="0" fontId="10" fillId="0" borderId="0" xfId="0" applyFont="1" applyFill="1" applyAlignment="1">
      <alignment horizontal="center" vertical="center" wrapText="1"/>
    </xf>
    <xf numFmtId="0" fontId="100" fillId="0" borderId="0" xfId="0" applyFont="1" applyFill="1" applyAlignment="1" applyProtection="1">
      <alignment wrapText="1"/>
    </xf>
    <xf numFmtId="0" fontId="33" fillId="2" borderId="33" xfId="0" applyFont="1" applyFill="1" applyBorder="1" applyAlignment="1">
      <alignment horizontal="right" vertical="center"/>
    </xf>
    <xf numFmtId="0" fontId="1" fillId="0" borderId="0" xfId="0" applyFont="1" applyFill="1" applyProtection="1"/>
    <xf numFmtId="0" fontId="6" fillId="0" borderId="0" xfId="0" applyFont="1" applyFill="1" applyBorder="1" applyAlignment="1">
      <alignment vertical="top"/>
    </xf>
    <xf numFmtId="0" fontId="98" fillId="0" borderId="0" xfId="0" applyFont="1"/>
    <xf numFmtId="0" fontId="0" fillId="0" borderId="0" xfId="0" applyAlignment="1">
      <alignment horizontal="right"/>
    </xf>
    <xf numFmtId="4" fontId="0" fillId="0" borderId="0" xfId="0" applyNumberFormat="1"/>
    <xf numFmtId="4" fontId="39" fillId="0" borderId="0" xfId="0" applyNumberFormat="1" applyFont="1"/>
    <xf numFmtId="4" fontId="0" fillId="0" borderId="0" xfId="0" applyNumberFormat="1" applyAlignment="1">
      <alignment horizontal="right"/>
    </xf>
    <xf numFmtId="4" fontId="39" fillId="0" borderId="0" xfId="0" applyNumberFormat="1" applyFont="1" applyAlignment="1">
      <alignment horizontal="right"/>
    </xf>
    <xf numFmtId="0" fontId="0" fillId="0" borderId="0" xfId="0" applyAlignment="1">
      <alignment horizontal="center" vertical="center"/>
    </xf>
    <xf numFmtId="14" fontId="0" fillId="0" borderId="0" xfId="0" applyNumberFormat="1" applyAlignment="1">
      <alignment horizontal="center" vertical="center"/>
    </xf>
    <xf numFmtId="44" fontId="0" fillId="0" borderId="0" xfId="8" applyFont="1" applyAlignment="1">
      <alignment horizontal="right"/>
    </xf>
    <xf numFmtId="4" fontId="39" fillId="0" borderId="0" xfId="12" applyNumberFormat="1" applyFont="1"/>
    <xf numFmtId="0" fontId="0" fillId="0" borderId="0" xfId="0" applyAlignment="1">
      <alignment horizontal="left" vertical="justify" wrapText="1"/>
    </xf>
    <xf numFmtId="0" fontId="102" fillId="0" borderId="0" xfId="0" applyFont="1" applyAlignment="1"/>
    <xf numFmtId="0" fontId="103" fillId="0" borderId="0" xfId="0" applyFont="1" applyAlignment="1"/>
    <xf numFmtId="0" fontId="0" fillId="0" borderId="0" xfId="0" applyBorder="1"/>
    <xf numFmtId="44" fontId="39" fillId="0" borderId="0" xfId="8" applyFont="1" applyAlignment="1">
      <alignment horizontal="right"/>
    </xf>
    <xf numFmtId="0" fontId="0" fillId="0" borderId="0" xfId="0" applyAlignment="1">
      <alignment horizontal="center"/>
    </xf>
    <xf numFmtId="9" fontId="0" fillId="0" borderId="0" xfId="0" applyNumberFormat="1"/>
    <xf numFmtId="10" fontId="0" fillId="0" borderId="0" xfId="0" applyNumberFormat="1"/>
    <xf numFmtId="0" fontId="104" fillId="0" borderId="0" xfId="0" applyFont="1" applyAlignment="1">
      <alignment horizontal="center"/>
    </xf>
    <xf numFmtId="0" fontId="104" fillId="0" borderId="0" xfId="0" applyFont="1" applyAlignment="1">
      <alignment horizontal="right"/>
    </xf>
    <xf numFmtId="4" fontId="104" fillId="0" borderId="0" xfId="0" applyNumberFormat="1" applyFont="1" applyAlignment="1">
      <alignment horizontal="right"/>
    </xf>
    <xf numFmtId="0" fontId="104" fillId="0" borderId="93" xfId="0" applyFont="1" applyBorder="1" applyAlignment="1">
      <alignment horizontal="right"/>
    </xf>
    <xf numFmtId="4" fontId="104" fillId="0" borderId="93" xfId="0" applyNumberFormat="1" applyFont="1" applyBorder="1" applyAlignment="1">
      <alignment horizontal="right"/>
    </xf>
    <xf numFmtId="0" fontId="0" fillId="0" borderId="0" xfId="0" applyFont="1"/>
    <xf numFmtId="0" fontId="0" fillId="0" borderId="0" xfId="0" applyFont="1" applyAlignment="1"/>
    <xf numFmtId="0" fontId="0" fillId="0" borderId="0" xfId="0" applyFont="1" applyAlignment="1">
      <alignment horizontal="left"/>
    </xf>
    <xf numFmtId="0" fontId="6" fillId="0" borderId="0" xfId="0" applyFont="1" applyFill="1" applyBorder="1"/>
    <xf numFmtId="49" fontId="33" fillId="0" borderId="6" xfId="0" applyNumberFormat="1" applyFont="1" applyBorder="1" applyAlignment="1">
      <alignment horizontal="center" vertical="center"/>
    </xf>
    <xf numFmtId="0" fontId="33" fillId="0" borderId="14" xfId="0" applyFont="1" applyFill="1" applyBorder="1" applyAlignment="1" applyProtection="1">
      <alignment horizontal="center" vertical="center"/>
      <protection locked="0"/>
    </xf>
    <xf numFmtId="0" fontId="33" fillId="0" borderId="94" xfId="0" applyFont="1" applyBorder="1" applyAlignment="1">
      <alignment horizontal="center" vertical="center"/>
    </xf>
    <xf numFmtId="0" fontId="33" fillId="0" borderId="48" xfId="0" applyFont="1" applyBorder="1" applyAlignment="1">
      <alignment horizontal="center" vertical="center"/>
    </xf>
    <xf numFmtId="44" fontId="33" fillId="0" borderId="17" xfId="8" applyFont="1" applyBorder="1" applyAlignment="1" applyProtection="1">
      <alignment horizontal="center" vertical="center"/>
      <protection locked="0"/>
    </xf>
    <xf numFmtId="49" fontId="33" fillId="0" borderId="0" xfId="0" applyNumberFormat="1" applyFont="1" applyBorder="1" applyAlignment="1" applyProtection="1">
      <alignment horizontal="center" vertical="center"/>
      <protection locked="0"/>
    </xf>
    <xf numFmtId="44" fontId="33" fillId="0" borderId="95" xfId="8" applyFont="1" applyBorder="1" applyAlignment="1" applyProtection="1">
      <alignment horizontal="center" vertical="center"/>
      <protection locked="0"/>
    </xf>
    <xf numFmtId="0" fontId="0" fillId="0" borderId="0" xfId="0"/>
    <xf numFmtId="0" fontId="69" fillId="0" borderId="5" xfId="0" applyFont="1" applyBorder="1" applyAlignment="1">
      <alignment horizontal="left" vertical="center"/>
    </xf>
    <xf numFmtId="49" fontId="3" fillId="0" borderId="15" xfId="0" applyNumberFormat="1" applyFont="1" applyFill="1" applyBorder="1" applyAlignment="1">
      <alignment horizontal="left" vertical="center" wrapText="1"/>
    </xf>
    <xf numFmtId="4" fontId="1" fillId="0" borderId="15" xfId="0" applyNumberFormat="1" applyFont="1" applyFill="1" applyBorder="1" applyAlignment="1">
      <alignment vertical="center" wrapText="1"/>
    </xf>
    <xf numFmtId="4" fontId="1" fillId="0" borderId="23" xfId="0" applyNumberFormat="1" applyFont="1" applyFill="1" applyBorder="1" applyAlignment="1">
      <alignment vertical="center" wrapText="1"/>
    </xf>
    <xf numFmtId="43" fontId="0" fillId="0" borderId="0" xfId="0" applyNumberFormat="1"/>
    <xf numFmtId="43" fontId="69" fillId="0" borderId="96" xfId="0" applyNumberFormat="1" applyFont="1" applyBorder="1" applyAlignment="1">
      <alignment vertical="center"/>
    </xf>
    <xf numFmtId="0" fontId="69" fillId="0" borderId="97" xfId="0" applyFont="1" applyBorder="1" applyAlignment="1">
      <alignment horizontal="left" vertical="center"/>
    </xf>
    <xf numFmtId="0" fontId="69" fillId="0" borderId="99" xfId="0" applyFont="1" applyBorder="1" applyAlignment="1">
      <alignment horizontal="left" vertical="center"/>
    </xf>
    <xf numFmtId="43" fontId="69" fillId="0" borderId="96" xfId="0" applyNumberFormat="1" applyFont="1" applyBorder="1" applyAlignment="1" applyProtection="1">
      <alignment vertical="center"/>
      <protection locked="0"/>
    </xf>
    <xf numFmtId="43" fontId="69" fillId="0" borderId="96" xfId="0" applyNumberFormat="1" applyFont="1" applyBorder="1" applyAlignment="1" applyProtection="1">
      <alignment vertical="center"/>
    </xf>
    <xf numFmtId="43" fontId="69" fillId="0" borderId="98" xfId="0" applyNumberFormat="1" applyFont="1" applyBorder="1" applyAlignment="1">
      <alignment vertical="center"/>
    </xf>
    <xf numFmtId="0" fontId="39" fillId="0" borderId="19" xfId="0" applyFont="1" applyBorder="1" applyAlignment="1">
      <alignment horizontal="center" vertical="center" wrapText="1"/>
    </xf>
    <xf numFmtId="44" fontId="0" fillId="0" borderId="19" xfId="8" applyFont="1" applyBorder="1" applyAlignment="1">
      <alignment vertical="center"/>
    </xf>
    <xf numFmtId="0" fontId="33" fillId="0" borderId="19" xfId="0" applyFont="1" applyFill="1" applyBorder="1" applyAlignment="1">
      <alignment horizontal="center" vertical="center" wrapText="1"/>
    </xf>
    <xf numFmtId="0" fontId="34" fillId="0" borderId="19" xfId="0" applyFont="1" applyFill="1" applyBorder="1" applyAlignment="1">
      <alignment horizontal="center" vertical="center" wrapText="1"/>
    </xf>
    <xf numFmtId="4" fontId="34" fillId="0" borderId="19" xfId="0" applyNumberFormat="1" applyFont="1" applyFill="1" applyBorder="1" applyAlignment="1" applyProtection="1">
      <alignment horizontal="center" vertical="center" wrapText="1"/>
    </xf>
    <xf numFmtId="4" fontId="34" fillId="0" borderId="19" xfId="0" applyNumberFormat="1" applyFont="1" applyFill="1" applyBorder="1" applyAlignment="1">
      <alignment horizontal="center" vertical="center" wrapText="1"/>
    </xf>
    <xf numFmtId="0" fontId="34" fillId="0" borderId="0" xfId="0" applyFont="1" applyFill="1" applyBorder="1" applyAlignment="1">
      <alignment horizontal="center" vertical="center" wrapText="1"/>
    </xf>
    <xf numFmtId="4" fontId="34" fillId="0" borderId="0" xfId="0" applyNumberFormat="1" applyFont="1" applyFill="1" applyBorder="1" applyAlignment="1">
      <alignment horizontal="center" vertical="center" wrapText="1"/>
    </xf>
    <xf numFmtId="0" fontId="105" fillId="0" borderId="0" xfId="0" applyFont="1" applyFill="1" applyBorder="1" applyAlignment="1">
      <alignment vertical="justify"/>
    </xf>
    <xf numFmtId="0" fontId="0" fillId="17" borderId="0" xfId="0" applyFill="1" applyAlignment="1">
      <alignment horizontal="left" vertical="top" wrapText="1"/>
    </xf>
    <xf numFmtId="7" fontId="107" fillId="18" borderId="100" xfId="0" applyNumberFormat="1" applyFont="1" applyFill="1" applyBorder="1" applyAlignment="1">
      <alignment wrapText="1"/>
    </xf>
    <xf numFmtId="7" fontId="107" fillId="17" borderId="100" xfId="0" applyNumberFormat="1" applyFont="1" applyFill="1" applyBorder="1" applyAlignment="1">
      <alignment wrapText="1"/>
    </xf>
    <xf numFmtId="7" fontId="108" fillId="17" borderId="100" xfId="0" applyNumberFormat="1" applyFont="1" applyFill="1" applyBorder="1" applyAlignment="1">
      <alignment vertical="top" wrapText="1"/>
    </xf>
    <xf numFmtId="0" fontId="0" fillId="17" borderId="0" xfId="0" applyFill="1" applyAlignment="1">
      <alignment horizontal="left" vertical="center"/>
    </xf>
    <xf numFmtId="7" fontId="107" fillId="18" borderId="100" xfId="0" applyNumberFormat="1" applyFont="1" applyFill="1" applyBorder="1" applyAlignment="1">
      <alignment vertical="center"/>
    </xf>
    <xf numFmtId="7" fontId="107" fillId="17" borderId="100" xfId="0" applyNumberFormat="1" applyFont="1" applyFill="1" applyBorder="1" applyAlignment="1">
      <alignment vertical="center"/>
    </xf>
    <xf numFmtId="0" fontId="6" fillId="0" borderId="0" xfId="0" applyFont="1" applyFill="1" applyBorder="1" applyProtection="1">
      <protection locked="0"/>
    </xf>
    <xf numFmtId="43" fontId="16" fillId="0" borderId="8" xfId="0" applyNumberFormat="1" applyFont="1" applyBorder="1" applyAlignment="1" applyProtection="1">
      <alignment horizontal="left" vertical="top"/>
      <protection locked="0"/>
    </xf>
    <xf numFmtId="44" fontId="33" fillId="2" borderId="33" xfId="8" applyFont="1" applyFill="1" applyBorder="1" applyAlignment="1">
      <alignment vertical="center"/>
    </xf>
    <xf numFmtId="49" fontId="3" fillId="0" borderId="46" xfId="0" applyNumberFormat="1" applyFont="1" applyFill="1" applyBorder="1" applyAlignment="1">
      <alignment horizontal="left" vertical="center" wrapText="1"/>
    </xf>
    <xf numFmtId="0" fontId="5" fillId="0" borderId="0" xfId="0" applyFont="1" applyFill="1" applyAlignment="1">
      <alignment horizontal="right" vertical="center" indent="1"/>
    </xf>
    <xf numFmtId="0" fontId="0" fillId="0" borderId="0" xfId="0"/>
    <xf numFmtId="0" fontId="0" fillId="0" borderId="0" xfId="0"/>
    <xf numFmtId="0" fontId="0" fillId="0" borderId="0" xfId="0"/>
    <xf numFmtId="0" fontId="74" fillId="6" borderId="13" xfId="0" applyFont="1" applyFill="1" applyBorder="1" applyAlignment="1">
      <alignment horizontal="justify" vertical="center" wrapText="1"/>
    </xf>
    <xf numFmtId="0" fontId="74" fillId="0" borderId="13" xfId="0" applyFont="1" applyBorder="1" applyAlignment="1">
      <alignment horizontal="justify" vertical="center" wrapText="1"/>
    </xf>
    <xf numFmtId="0" fontId="0" fillId="0" borderId="0" xfId="0"/>
    <xf numFmtId="8" fontId="103" fillId="0" borderId="0" xfId="0" applyNumberFormat="1" applyFont="1" applyBorder="1" applyAlignment="1"/>
    <xf numFmtId="3" fontId="34" fillId="0" borderId="47" xfId="0" applyNumberFormat="1" applyFont="1" applyBorder="1" applyAlignment="1" applyProtection="1">
      <alignment horizontal="right" vertical="center" wrapText="1"/>
    </xf>
    <xf numFmtId="3" fontId="34" fillId="0" borderId="18" xfId="0" applyNumberFormat="1" applyFont="1" applyBorder="1" applyAlignment="1" applyProtection="1">
      <alignment horizontal="right" vertical="center" wrapText="1"/>
    </xf>
    <xf numFmtId="0" fontId="0" fillId="0" borderId="0" xfId="0" applyAlignment="1">
      <alignment horizontal="left" vertical="justify" wrapText="1"/>
    </xf>
    <xf numFmtId="0" fontId="0" fillId="0" borderId="0" xfId="0"/>
    <xf numFmtId="4" fontId="34" fillId="0" borderId="17" xfId="0" applyNumberFormat="1" applyFont="1" applyFill="1" applyBorder="1" applyAlignment="1" applyProtection="1">
      <alignment horizontal="right" vertical="center" wrapText="1"/>
    </xf>
    <xf numFmtId="4" fontId="34" fillId="0" borderId="16" xfId="0" applyNumberFormat="1" applyFont="1" applyFill="1" applyBorder="1" applyAlignment="1" applyProtection="1">
      <alignment horizontal="right" vertical="center" wrapText="1"/>
    </xf>
    <xf numFmtId="4" fontId="34" fillId="0" borderId="17" xfId="0" applyNumberFormat="1" applyFont="1" applyFill="1" applyBorder="1" applyAlignment="1" applyProtection="1">
      <alignment horizontal="right" vertical="center" wrapText="1"/>
      <protection locked="0"/>
    </xf>
    <xf numFmtId="4" fontId="1" fillId="0" borderId="16" xfId="0" applyNumberFormat="1" applyFont="1" applyFill="1" applyBorder="1" applyAlignment="1" applyProtection="1">
      <alignment horizontal="right" vertical="center" wrapText="1"/>
      <protection locked="0"/>
    </xf>
    <xf numFmtId="4" fontId="1" fillId="0" borderId="16" xfId="0" applyNumberFormat="1" applyFont="1" applyFill="1" applyBorder="1" applyAlignment="1" applyProtection="1">
      <alignment horizontal="right" vertical="center" wrapText="1"/>
    </xf>
    <xf numFmtId="4" fontId="22" fillId="0" borderId="47" xfId="0" applyNumberFormat="1" applyFont="1" applyFill="1" applyBorder="1" applyAlignment="1" applyProtection="1">
      <alignment horizontal="right" vertical="center" wrapText="1"/>
      <protection locked="0"/>
    </xf>
    <xf numFmtId="4" fontId="22" fillId="0" borderId="17" xfId="0" applyNumberFormat="1" applyFont="1" applyFill="1" applyBorder="1" applyAlignment="1" applyProtection="1">
      <alignment horizontal="right" vertical="center" wrapText="1"/>
      <protection locked="0"/>
    </xf>
    <xf numFmtId="4" fontId="22" fillId="0" borderId="14" xfId="0" applyNumberFormat="1" applyFont="1" applyFill="1" applyBorder="1" applyAlignment="1" applyProtection="1">
      <alignment horizontal="right" vertical="center" wrapText="1"/>
      <protection locked="0"/>
    </xf>
    <xf numFmtId="0" fontId="105" fillId="0" borderId="0" xfId="0" applyFont="1" applyFill="1" applyBorder="1" applyAlignment="1">
      <alignment horizontal="center" wrapText="1"/>
    </xf>
    <xf numFmtId="0" fontId="112" fillId="0" borderId="0" xfId="0" applyFont="1" applyFill="1" applyBorder="1" applyAlignment="1">
      <alignment horizontal="center" wrapText="1"/>
    </xf>
    <xf numFmtId="9" fontId="112" fillId="0" borderId="0" xfId="0" applyNumberFormat="1" applyFont="1" applyFill="1" applyBorder="1" applyAlignment="1">
      <alignment horizontal="center" wrapText="1"/>
    </xf>
    <xf numFmtId="0" fontId="16" fillId="0" borderId="0" xfId="0" applyFont="1" applyFill="1" applyBorder="1" applyAlignment="1" applyProtection="1">
      <alignment wrapText="1"/>
      <protection locked="0"/>
    </xf>
    <xf numFmtId="0" fontId="0" fillId="0" borderId="0" xfId="0" applyAlignment="1">
      <alignment vertical="justify" wrapText="1"/>
    </xf>
    <xf numFmtId="43" fontId="0" fillId="0" borderId="0" xfId="0" applyNumberFormat="1" applyAlignment="1">
      <alignment horizontal="left" vertical="justify" wrapText="1"/>
    </xf>
    <xf numFmtId="43" fontId="39" fillId="2" borderId="0" xfId="0" applyNumberFormat="1" applyFont="1" applyFill="1" applyAlignment="1">
      <alignment horizontal="left" vertical="justify" wrapText="1"/>
    </xf>
    <xf numFmtId="43" fontId="0" fillId="2" borderId="0" xfId="0" applyNumberFormat="1" applyFill="1" applyAlignment="1">
      <alignment horizontal="left" vertical="justify" wrapText="1"/>
    </xf>
    <xf numFmtId="0" fontId="0" fillId="0" borderId="0" xfId="0" applyBorder="1" applyAlignment="1"/>
    <xf numFmtId="8" fontId="102" fillId="0" borderId="0" xfId="0" applyNumberFormat="1" applyFont="1" applyBorder="1" applyAlignment="1"/>
    <xf numFmtId="0" fontId="103" fillId="0" borderId="0" xfId="0" applyFont="1" applyBorder="1" applyAlignment="1"/>
    <xf numFmtId="0" fontId="101" fillId="0" borderId="60" xfId="0" applyFont="1" applyFill="1" applyBorder="1" applyAlignment="1">
      <alignment horizontal="center"/>
    </xf>
    <xf numFmtId="44" fontId="101" fillId="0" borderId="60" xfId="8" applyFont="1" applyBorder="1" applyAlignment="1"/>
    <xf numFmtId="0" fontId="101" fillId="0" borderId="0" xfId="0" applyFont="1" applyFill="1" applyBorder="1" applyAlignment="1"/>
    <xf numFmtId="0" fontId="113" fillId="0" borderId="0" xfId="0" applyNumberFormat="1" applyFont="1" applyBorder="1" applyAlignment="1"/>
    <xf numFmtId="44" fontId="101" fillId="0" borderId="0" xfId="8" applyFont="1" applyBorder="1" applyAlignment="1"/>
    <xf numFmtId="44" fontId="101" fillId="0" borderId="19" xfId="8" applyFont="1" applyBorder="1" applyAlignment="1"/>
    <xf numFmtId="0" fontId="101" fillId="0" borderId="19" xfId="0" applyFont="1" applyFill="1" applyBorder="1" applyAlignment="1">
      <alignment horizontal="center"/>
    </xf>
    <xf numFmtId="0" fontId="113" fillId="0" borderId="60" xfId="0" applyFont="1" applyFill="1" applyBorder="1" applyAlignment="1">
      <alignment vertical="center"/>
    </xf>
    <xf numFmtId="0" fontId="101" fillId="0" borderId="33" xfId="0" applyFont="1" applyFill="1" applyBorder="1" applyAlignment="1">
      <alignment vertical="center"/>
    </xf>
    <xf numFmtId="0" fontId="101" fillId="0" borderId="37" xfId="0" applyFont="1" applyFill="1" applyBorder="1" applyAlignment="1">
      <alignment vertical="center"/>
    </xf>
    <xf numFmtId="43" fontId="113" fillId="0" borderId="60" xfId="0" applyNumberFormat="1" applyFont="1" applyFill="1" applyBorder="1" applyAlignment="1">
      <alignment vertical="center"/>
    </xf>
    <xf numFmtId="4" fontId="113" fillId="0" borderId="19" xfId="0" applyNumberFormat="1" applyFont="1" applyFill="1" applyBorder="1" applyAlignment="1">
      <alignment vertical="center"/>
    </xf>
    <xf numFmtId="43" fontId="113" fillId="0" borderId="60" xfId="0" applyNumberFormat="1" applyFont="1" applyBorder="1" applyAlignment="1">
      <alignment vertical="center"/>
    </xf>
    <xf numFmtId="4" fontId="113" fillId="0" borderId="19" xfId="0" applyNumberFormat="1" applyFont="1" applyBorder="1" applyAlignment="1">
      <alignment vertical="center"/>
    </xf>
    <xf numFmtId="0" fontId="113" fillId="0" borderId="60" xfId="0" applyNumberFormat="1" applyFont="1" applyBorder="1" applyAlignment="1">
      <alignment vertical="center"/>
    </xf>
    <xf numFmtId="0" fontId="114" fillId="0" borderId="0" xfId="0" applyFont="1" applyFill="1" applyBorder="1" applyAlignment="1">
      <alignment vertical="justify" wrapText="1"/>
    </xf>
    <xf numFmtId="2" fontId="80" fillId="0" borderId="0" xfId="0" applyNumberFormat="1" applyFont="1" applyFill="1" applyBorder="1" applyAlignment="1">
      <alignment vertical="top" wrapText="1"/>
    </xf>
    <xf numFmtId="2" fontId="112" fillId="0" borderId="0" xfId="0" applyNumberFormat="1" applyFont="1" applyFill="1" applyBorder="1" applyAlignment="1">
      <alignment vertical="top" wrapText="1"/>
    </xf>
    <xf numFmtId="2" fontId="79" fillId="0" borderId="0" xfId="0" applyNumberFormat="1" applyFont="1" applyFill="1" applyBorder="1" applyAlignment="1">
      <alignment vertical="top" wrapText="1"/>
    </xf>
    <xf numFmtId="2" fontId="79" fillId="0" borderId="19" xfId="0" applyNumberFormat="1" applyFont="1" applyFill="1" applyBorder="1" applyAlignment="1">
      <alignment vertical="center" wrapText="1"/>
    </xf>
    <xf numFmtId="2" fontId="112" fillId="0" borderId="19" xfId="0" applyNumberFormat="1" applyFont="1" applyFill="1" applyBorder="1" applyAlignment="1">
      <alignment vertical="center" wrapText="1"/>
    </xf>
    <xf numFmtId="4" fontId="80" fillId="0" borderId="19" xfId="0" applyNumberFormat="1" applyFont="1" applyFill="1" applyBorder="1" applyAlignment="1">
      <alignment vertical="center" wrapText="1"/>
    </xf>
    <xf numFmtId="4" fontId="79" fillId="0" borderId="19" xfId="0" applyNumberFormat="1" applyFont="1" applyFill="1" applyBorder="1" applyAlignment="1">
      <alignment vertical="center" wrapText="1"/>
    </xf>
    <xf numFmtId="7" fontId="2" fillId="17" borderId="0" xfId="0" applyNumberFormat="1" applyFont="1" applyFill="1" applyBorder="1" applyAlignment="1">
      <alignment horizontal="right" vertical="top" wrapText="1"/>
    </xf>
    <xf numFmtId="43" fontId="34" fillId="0" borderId="0" xfId="8" applyNumberFormat="1" applyFont="1" applyFill="1" applyBorder="1" applyAlignment="1" applyProtection="1">
      <alignment vertical="top" wrapText="1"/>
      <protection locked="0"/>
    </xf>
    <xf numFmtId="7" fontId="34" fillId="17" borderId="0" xfId="0" applyNumberFormat="1" applyFont="1" applyFill="1" applyBorder="1" applyAlignment="1">
      <alignment horizontal="right" vertical="top" wrapText="1"/>
    </xf>
    <xf numFmtId="7" fontId="117" fillId="17" borderId="4" xfId="0" applyNumberFormat="1" applyFont="1" applyFill="1" applyBorder="1" applyAlignment="1">
      <alignment horizontal="right" vertical="top" wrapText="1"/>
    </xf>
    <xf numFmtId="43" fontId="12" fillId="0" borderId="4" xfId="0" applyNumberFormat="1" applyFont="1" applyBorder="1" applyAlignment="1" applyProtection="1">
      <alignment horizontal="right" vertical="center" wrapText="1"/>
      <protection locked="0"/>
    </xf>
    <xf numFmtId="43" fontId="25" fillId="0" borderId="4" xfId="0" applyNumberFormat="1" applyFont="1" applyBorder="1" applyAlignment="1">
      <alignment horizontal="right" vertical="center" wrapText="1"/>
    </xf>
    <xf numFmtId="43" fontId="12" fillId="0" borderId="13" xfId="0" applyNumberFormat="1" applyFont="1" applyBorder="1" applyAlignment="1" applyProtection="1">
      <alignment horizontal="right" vertical="center" wrapText="1"/>
      <protection locked="0"/>
    </xf>
    <xf numFmtId="43" fontId="25" fillId="0" borderId="51" xfId="0" applyNumberFormat="1" applyFont="1" applyBorder="1" applyAlignment="1">
      <alignment horizontal="right" vertical="center" wrapText="1"/>
    </xf>
    <xf numFmtId="43" fontId="12" fillId="0" borderId="4" xfId="0" applyNumberFormat="1" applyFont="1" applyBorder="1" applyAlignment="1">
      <alignment horizontal="right" vertical="center" wrapText="1"/>
    </xf>
    <xf numFmtId="7" fontId="12" fillId="0" borderId="4" xfId="0" applyNumberFormat="1" applyFont="1" applyBorder="1" applyAlignment="1" applyProtection="1">
      <alignment horizontal="right" vertical="center" wrapText="1"/>
      <protection locked="0"/>
    </xf>
    <xf numFmtId="43" fontId="12" fillId="0" borderId="4" xfId="0" applyNumberFormat="1" applyFont="1" applyBorder="1" applyAlignment="1">
      <alignment horizontal="justify" vertical="center" wrapText="1"/>
    </xf>
    <xf numFmtId="4" fontId="16" fillId="17" borderId="0" xfId="0" applyNumberFormat="1" applyFont="1" applyFill="1" applyBorder="1" applyAlignment="1">
      <alignment horizontal="right" vertical="top" wrapText="1"/>
    </xf>
    <xf numFmtId="165" fontId="16" fillId="17" borderId="0" xfId="0" applyNumberFormat="1" applyFont="1" applyFill="1" applyBorder="1" applyAlignment="1">
      <alignment horizontal="right" vertical="top" wrapText="1"/>
    </xf>
    <xf numFmtId="4" fontId="117" fillId="17" borderId="0" xfId="0" applyNumberFormat="1" applyFont="1" applyFill="1" applyBorder="1" applyAlignment="1">
      <alignment horizontal="right" vertical="top" wrapText="1"/>
    </xf>
    <xf numFmtId="4" fontId="2" fillId="0" borderId="14" xfId="0" applyNumberFormat="1" applyFont="1" applyFill="1" applyBorder="1" applyAlignment="1" applyProtection="1">
      <alignment horizontal="right" vertical="center"/>
      <protection locked="0"/>
    </xf>
    <xf numFmtId="4" fontId="2" fillId="17" borderId="17" xfId="0" applyNumberFormat="1" applyFont="1" applyFill="1" applyBorder="1" applyAlignment="1">
      <alignment horizontal="right" vertical="center" wrapText="1"/>
    </xf>
    <xf numFmtId="4" fontId="2" fillId="17" borderId="0" xfId="0" applyNumberFormat="1" applyFont="1" applyFill="1" applyBorder="1" applyAlignment="1">
      <alignment horizontal="right" vertical="center" wrapText="1"/>
    </xf>
    <xf numFmtId="4" fontId="110" fillId="17" borderId="0" xfId="0" applyNumberFormat="1" applyFont="1" applyFill="1" applyBorder="1" applyAlignment="1">
      <alignment horizontal="right" vertical="center" wrapText="1"/>
    </xf>
    <xf numFmtId="43" fontId="111" fillId="17" borderId="100" xfId="0" applyNumberFormat="1" applyFont="1" applyFill="1" applyBorder="1" applyAlignment="1">
      <alignment vertical="center"/>
    </xf>
    <xf numFmtId="4" fontId="34" fillId="0" borderId="14" xfId="0" applyNumberFormat="1" applyFont="1" applyFill="1" applyBorder="1" applyAlignment="1" applyProtection="1">
      <alignment horizontal="right" vertical="center" wrapText="1"/>
    </xf>
    <xf numFmtId="4" fontId="34" fillId="0" borderId="14" xfId="0" applyNumberFormat="1" applyFont="1" applyFill="1" applyBorder="1" applyAlignment="1" applyProtection="1">
      <alignment horizontal="right" vertical="center" wrapText="1"/>
      <protection locked="0"/>
    </xf>
    <xf numFmtId="4" fontId="1" fillId="0" borderId="14" xfId="0" applyNumberFormat="1" applyFont="1" applyFill="1" applyBorder="1" applyAlignment="1" applyProtection="1">
      <alignment horizontal="right" vertical="center" wrapText="1"/>
      <protection locked="0"/>
    </xf>
    <xf numFmtId="4" fontId="1" fillId="0" borderId="14" xfId="0" applyNumberFormat="1" applyFont="1" applyFill="1" applyBorder="1" applyAlignment="1" applyProtection="1">
      <alignment horizontal="right" vertical="center" wrapText="1"/>
    </xf>
    <xf numFmtId="0" fontId="101" fillId="0" borderId="3" xfId="0" applyFont="1" applyBorder="1" applyAlignment="1">
      <alignment horizontal="justify" vertical="center"/>
    </xf>
    <xf numFmtId="0" fontId="113" fillId="0" borderId="6" xfId="0" applyFont="1" applyBorder="1" applyAlignment="1">
      <alignment horizontal="justify" vertical="center"/>
    </xf>
    <xf numFmtId="0" fontId="1" fillId="0" borderId="48" xfId="0" applyFont="1" applyBorder="1" applyAlignment="1" applyProtection="1">
      <alignment horizontal="left" vertical="center" wrapText="1"/>
    </xf>
    <xf numFmtId="0" fontId="1" fillId="0" borderId="49" xfId="0" applyFont="1" applyBorder="1" applyAlignment="1" applyProtection="1">
      <alignment horizontal="left" vertical="center" wrapText="1"/>
    </xf>
    <xf numFmtId="0" fontId="25" fillId="0" borderId="9" xfId="0" applyFont="1" applyFill="1" applyBorder="1" applyAlignment="1">
      <alignment horizontal="center" vertical="center" wrapText="1"/>
    </xf>
    <xf numFmtId="0" fontId="3" fillId="0" borderId="48" xfId="0" applyFont="1" applyBorder="1" applyAlignment="1" applyProtection="1">
      <alignment vertical="center" wrapText="1"/>
    </xf>
    <xf numFmtId="4" fontId="33" fillId="0" borderId="17" xfId="0" applyNumberFormat="1" applyFont="1" applyFill="1" applyBorder="1" applyAlignment="1" applyProtection="1">
      <alignment horizontal="right" vertical="center" wrapText="1"/>
    </xf>
    <xf numFmtId="4" fontId="33" fillId="0" borderId="14" xfId="0" applyNumberFormat="1" applyFont="1" applyFill="1" applyBorder="1" applyAlignment="1" applyProtection="1">
      <alignment horizontal="right" vertical="center" wrapText="1"/>
    </xf>
    <xf numFmtId="3" fontId="33" fillId="0" borderId="47" xfId="0" applyNumberFormat="1" applyFont="1" applyBorder="1" applyAlignment="1" applyProtection="1">
      <alignment horizontal="right" vertical="center" wrapText="1"/>
    </xf>
    <xf numFmtId="0" fontId="3" fillId="0" borderId="46" xfId="0" applyFont="1" applyBorder="1" applyAlignment="1" applyProtection="1">
      <alignment vertical="center" wrapText="1"/>
    </xf>
    <xf numFmtId="3" fontId="33" fillId="0" borderId="17" xfId="0" applyNumberFormat="1" applyFont="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3" fontId="3" fillId="0" borderId="47" xfId="0" applyNumberFormat="1" applyFont="1" applyBorder="1" applyAlignment="1" applyProtection="1">
      <alignment horizontal="right" vertical="center" wrapText="1"/>
    </xf>
    <xf numFmtId="0" fontId="109" fillId="0" borderId="0" xfId="0" applyNumberFormat="1" applyFont="1" applyFill="1" applyAlignment="1">
      <alignment horizontal="center" vertical="center"/>
    </xf>
    <xf numFmtId="49" fontId="109" fillId="0" borderId="0" xfId="0" applyNumberFormat="1" applyFont="1" applyFill="1" applyAlignment="1">
      <alignment horizontal="center" vertical="center"/>
    </xf>
    <xf numFmtId="0" fontId="109" fillId="0" borderId="0" xfId="0" applyNumberFormat="1" applyFont="1" applyFill="1" applyBorder="1" applyAlignment="1">
      <alignment horizontal="center" vertical="center"/>
    </xf>
    <xf numFmtId="0" fontId="109" fillId="0" borderId="0" xfId="0" applyFont="1" applyFill="1" applyBorder="1" applyAlignment="1">
      <alignment horizontal="center" vertical="center"/>
    </xf>
    <xf numFmtId="49" fontId="109" fillId="0" borderId="0" xfId="0" applyNumberFormat="1" applyFont="1" applyFill="1" applyBorder="1" applyAlignment="1">
      <alignment horizontal="center" vertical="center"/>
    </xf>
    <xf numFmtId="7" fontId="120" fillId="0" borderId="0" xfId="0" applyNumberFormat="1" applyFont="1" applyFill="1" applyBorder="1" applyAlignment="1">
      <alignment vertical="center" wrapText="1"/>
    </xf>
    <xf numFmtId="0" fontId="109" fillId="0" borderId="0" xfId="0" applyFont="1" applyFill="1" applyAlignment="1">
      <alignment vertical="center"/>
    </xf>
    <xf numFmtId="0" fontId="80" fillId="0" borderId="19" xfId="0" applyFont="1" applyBorder="1" applyAlignment="1">
      <alignment horizontal="justify" vertical="center"/>
    </xf>
    <xf numFmtId="0" fontId="79" fillId="0" borderId="19" xfId="0" applyFont="1" applyBorder="1" applyAlignment="1">
      <alignment horizontal="justify" vertical="center"/>
    </xf>
    <xf numFmtId="0" fontId="115" fillId="0" borderId="19" xfId="0" applyFont="1" applyBorder="1" applyAlignment="1">
      <alignment horizontal="justify" vertical="center"/>
    </xf>
    <xf numFmtId="39" fontId="79" fillId="0" borderId="19" xfId="0" applyNumberFormat="1" applyFont="1" applyBorder="1" applyAlignment="1">
      <alignment vertical="center"/>
    </xf>
    <xf numFmtId="39" fontId="121" fillId="0" borderId="19" xfId="14" applyNumberFormat="1" applyFont="1" applyBorder="1" applyAlignment="1">
      <alignment vertical="center"/>
    </xf>
    <xf numFmtId="44" fontId="80" fillId="0" borderId="19" xfId="0" applyNumberFormat="1" applyFont="1" applyBorder="1" applyAlignment="1">
      <alignment horizontal="justify" vertical="center"/>
    </xf>
    <xf numFmtId="44" fontId="79" fillId="0" borderId="19" xfId="8" applyFont="1" applyBorder="1" applyAlignment="1">
      <alignment horizontal="justify" vertical="center"/>
    </xf>
    <xf numFmtId="0" fontId="122" fillId="0" borderId="19" xfId="0" applyFont="1" applyBorder="1" applyAlignment="1">
      <alignment horizontal="center" vertical="center"/>
    </xf>
    <xf numFmtId="39" fontId="121" fillId="0" borderId="19" xfId="14" quotePrefix="1" applyNumberFormat="1" applyFont="1" applyBorder="1" applyAlignment="1">
      <alignment vertical="center"/>
    </xf>
    <xf numFmtId="39" fontId="79" fillId="0" borderId="19" xfId="0" quotePrefix="1" applyNumberFormat="1" applyFont="1" applyBorder="1" applyAlignment="1">
      <alignment vertical="center"/>
    </xf>
    <xf numFmtId="44" fontId="80" fillId="0" borderId="19" xfId="8" applyFont="1" applyBorder="1" applyAlignment="1">
      <alignment horizontal="justify" vertical="center"/>
    </xf>
    <xf numFmtId="39" fontId="80" fillId="0" borderId="19" xfId="0" applyNumberFormat="1" applyFont="1" applyBorder="1" applyAlignment="1">
      <alignment vertical="center"/>
    </xf>
    <xf numFmtId="167" fontId="80" fillId="0" borderId="19" xfId="0" applyNumberFormat="1" applyFont="1" applyBorder="1" applyAlignment="1">
      <alignment vertical="center"/>
    </xf>
    <xf numFmtId="0" fontId="109" fillId="0" borderId="0" xfId="0" applyFont="1"/>
    <xf numFmtId="0" fontId="122" fillId="0" borderId="19" xfId="0" applyFont="1" applyBorder="1" applyAlignment="1">
      <alignment horizontal="center" vertical="center" wrapText="1"/>
    </xf>
    <xf numFmtId="39" fontId="79" fillId="0" borderId="19" xfId="8" applyNumberFormat="1" applyFont="1" applyBorder="1" applyAlignment="1">
      <alignment vertical="center"/>
    </xf>
    <xf numFmtId="165" fontId="79" fillId="0" borderId="19" xfId="8" applyNumberFormat="1" applyFont="1" applyBorder="1" applyAlignment="1">
      <alignment vertical="center"/>
    </xf>
    <xf numFmtId="7" fontId="79" fillId="0" borderId="19" xfId="8" applyNumberFormat="1" applyFont="1" applyBorder="1" applyAlignment="1">
      <alignment vertical="center"/>
    </xf>
    <xf numFmtId="7" fontId="80" fillId="0" borderId="19" xfId="0" applyNumberFormat="1" applyFont="1" applyBorder="1" applyAlignment="1">
      <alignment vertical="center"/>
    </xf>
    <xf numFmtId="0" fontId="79" fillId="0" borderId="19" xfId="0" applyFont="1" applyBorder="1" applyAlignment="1">
      <alignment horizontal="center" vertical="center"/>
    </xf>
    <xf numFmtId="43" fontId="80" fillId="0" borderId="19" xfId="0" applyNumberFormat="1" applyFont="1" applyBorder="1" applyAlignment="1">
      <alignment horizontal="justify" vertical="center"/>
    </xf>
    <xf numFmtId="43" fontId="79" fillId="0" borderId="19" xfId="0" applyNumberFormat="1" applyFont="1" applyBorder="1" applyAlignment="1">
      <alignment horizontal="justify" vertical="center"/>
    </xf>
    <xf numFmtId="3" fontId="2" fillId="17" borderId="0" xfId="0" applyNumberFormat="1" applyFont="1" applyFill="1" applyBorder="1" applyAlignment="1">
      <alignment horizontal="right" vertical="center" wrapText="1"/>
    </xf>
    <xf numFmtId="4" fontId="1" fillId="0" borderId="17" xfId="0" applyNumberFormat="1" applyFont="1" applyBorder="1" applyAlignment="1" applyProtection="1">
      <alignment horizontal="right" vertical="center" wrapText="1"/>
      <protection locked="0"/>
    </xf>
    <xf numFmtId="4" fontId="1" fillId="0" borderId="17" xfId="0" applyNumberFormat="1" applyFont="1" applyBorder="1" applyAlignment="1" applyProtection="1">
      <alignment horizontal="right" vertical="center" wrapText="1"/>
    </xf>
    <xf numFmtId="4" fontId="1" fillId="0" borderId="16" xfId="0" applyNumberFormat="1" applyFont="1" applyBorder="1" applyAlignment="1" applyProtection="1">
      <alignment horizontal="right" vertical="center" wrapText="1"/>
      <protection locked="0"/>
    </xf>
    <xf numFmtId="4" fontId="1" fillId="0" borderId="16" xfId="0" applyNumberFormat="1" applyFont="1" applyBorder="1" applyAlignment="1" applyProtection="1">
      <alignment horizontal="right" vertical="center" wrapText="1"/>
    </xf>
    <xf numFmtId="7" fontId="5" fillId="0" borderId="17" xfId="12" applyNumberFormat="1" applyFont="1" applyFill="1" applyBorder="1" applyAlignment="1" applyProtection="1">
      <alignment horizontal="right" vertical="center"/>
      <protection locked="0"/>
    </xf>
    <xf numFmtId="4" fontId="34" fillId="17" borderId="17" xfId="0" applyNumberFormat="1" applyFont="1" applyFill="1" applyBorder="1" applyAlignment="1">
      <alignment horizontal="right" vertical="center" wrapText="1"/>
    </xf>
    <xf numFmtId="4" fontId="34" fillId="17" borderId="0" xfId="0" applyNumberFormat="1" applyFont="1" applyFill="1" applyBorder="1" applyAlignment="1">
      <alignment horizontal="right" vertical="center" wrapText="1"/>
    </xf>
    <xf numFmtId="43" fontId="5" fillId="0" borderId="17" xfId="12" applyNumberFormat="1" applyFont="1" applyFill="1" applyBorder="1" applyAlignment="1" applyProtection="1">
      <alignment horizontal="right" vertical="center"/>
      <protection locked="0"/>
    </xf>
    <xf numFmtId="7" fontId="111" fillId="17" borderId="100" xfId="0" applyNumberFormat="1" applyFont="1" applyFill="1" applyBorder="1" applyAlignment="1">
      <alignment vertical="center"/>
    </xf>
    <xf numFmtId="43" fontId="107" fillId="17" borderId="100" xfId="0" applyNumberFormat="1" applyFont="1" applyFill="1" applyBorder="1" applyAlignment="1">
      <alignment vertical="center"/>
    </xf>
    <xf numFmtId="4" fontId="72" fillId="17" borderId="17" xfId="0" applyNumberFormat="1" applyFont="1" applyFill="1" applyBorder="1" applyAlignment="1">
      <alignment horizontal="right" vertical="center" wrapText="1"/>
    </xf>
    <xf numFmtId="7" fontId="109" fillId="0" borderId="0" xfId="0" applyNumberFormat="1" applyFont="1" applyFill="1" applyBorder="1" applyAlignment="1" applyProtection="1">
      <alignment horizontal="right" vertical="top" wrapText="1"/>
    </xf>
    <xf numFmtId="4" fontId="72" fillId="0" borderId="15" xfId="0" applyNumberFormat="1" applyFont="1" applyFill="1" applyBorder="1" applyAlignment="1" applyProtection="1">
      <alignment horizontal="right" vertical="center" wrapText="1"/>
      <protection locked="0"/>
    </xf>
    <xf numFmtId="4" fontId="72" fillId="0" borderId="17" xfId="0" applyNumberFormat="1" applyFont="1" applyFill="1" applyBorder="1" applyAlignment="1" applyProtection="1">
      <alignment horizontal="right" vertical="center" wrapText="1"/>
      <protection locked="0"/>
    </xf>
    <xf numFmtId="4" fontId="72" fillId="0" borderId="17" xfId="0" applyNumberFormat="1" applyFont="1" applyFill="1" applyBorder="1" applyAlignment="1">
      <alignment horizontal="right" vertical="center" wrapText="1"/>
    </xf>
    <xf numFmtId="7" fontId="119" fillId="0" borderId="105" xfId="0" applyNumberFormat="1" applyFont="1" applyFill="1" applyBorder="1" applyAlignment="1" applyProtection="1">
      <alignment horizontal="right" vertical="top" wrapText="1"/>
    </xf>
    <xf numFmtId="4" fontId="72" fillId="0" borderId="15" xfId="0" applyNumberFormat="1" applyFont="1" applyFill="1" applyBorder="1" applyAlignment="1" applyProtection="1">
      <alignment horizontal="right" vertical="center" wrapText="1"/>
    </xf>
    <xf numFmtId="4" fontId="72" fillId="0" borderId="17" xfId="0" applyNumberFormat="1" applyFont="1" applyFill="1" applyBorder="1" applyAlignment="1" applyProtection="1">
      <alignment horizontal="right" vertical="center" wrapText="1"/>
    </xf>
    <xf numFmtId="7" fontId="79" fillId="0" borderId="19" xfId="8" applyNumberFormat="1" applyFont="1" applyBorder="1" applyAlignment="1">
      <alignment horizontal="justify" vertical="center"/>
    </xf>
    <xf numFmtId="7" fontId="109" fillId="0" borderId="0" xfId="0" applyNumberFormat="1" applyFont="1"/>
    <xf numFmtId="0" fontId="0" fillId="0" borderId="0" xfId="0" applyAlignment="1">
      <alignment horizontal="left" wrapText="1"/>
    </xf>
    <xf numFmtId="4" fontId="119" fillId="0" borderId="105" xfId="0" applyNumberFormat="1" applyFont="1" applyFill="1" applyBorder="1" applyAlignment="1" applyProtection="1">
      <alignment horizontal="right" vertical="top" wrapText="1"/>
    </xf>
    <xf numFmtId="0" fontId="109" fillId="0" borderId="0" xfId="0" applyNumberFormat="1" applyFont="1" applyFill="1" applyBorder="1" applyAlignment="1" applyProtection="1">
      <alignment horizontal="left" vertical="top" wrapText="1"/>
    </xf>
    <xf numFmtId="7" fontId="119" fillId="0" borderId="106" xfId="0" applyNumberFormat="1" applyFont="1" applyFill="1" applyBorder="1" applyAlignment="1" applyProtection="1">
      <alignment horizontal="right" vertical="top" wrapText="1"/>
    </xf>
    <xf numFmtId="7" fontId="119" fillId="0" borderId="28" xfId="0" applyNumberFormat="1" applyFont="1" applyFill="1" applyBorder="1" applyAlignment="1" applyProtection="1">
      <alignment horizontal="right" vertical="top" wrapText="1"/>
    </xf>
    <xf numFmtId="7" fontId="72" fillId="0" borderId="17" xfId="0" applyNumberFormat="1" applyFont="1" applyFill="1" applyBorder="1" applyAlignment="1" applyProtection="1">
      <alignment horizontal="right" vertical="center" wrapText="1"/>
    </xf>
    <xf numFmtId="49" fontId="112" fillId="0" borderId="0" xfId="0" applyNumberFormat="1" applyFont="1" applyFill="1" applyBorder="1" applyAlignment="1"/>
    <xf numFmtId="4" fontId="112" fillId="0" borderId="0" xfId="0" applyNumberFormat="1" applyFont="1" applyFill="1" applyBorder="1" applyAlignment="1"/>
    <xf numFmtId="166" fontId="112" fillId="0" borderId="0" xfId="0" applyNumberFormat="1" applyFont="1" applyFill="1" applyBorder="1" applyAlignment="1"/>
    <xf numFmtId="0" fontId="99" fillId="16" borderId="29" xfId="0" applyFont="1" applyFill="1" applyBorder="1" applyAlignment="1">
      <alignment horizontal="center" vertical="center" wrapText="1"/>
    </xf>
    <xf numFmtId="168" fontId="12" fillId="0" borderId="6" xfId="0" applyNumberFormat="1" applyFont="1" applyBorder="1" applyAlignment="1">
      <alignment horizontal="right" vertical="center" wrapText="1"/>
    </xf>
    <xf numFmtId="7" fontId="34" fillId="0" borderId="17" xfId="0" applyNumberFormat="1" applyFont="1" applyFill="1" applyBorder="1" applyAlignment="1" applyProtection="1">
      <alignment horizontal="right" vertical="top" wrapText="1"/>
    </xf>
    <xf numFmtId="0" fontId="33" fillId="0" borderId="17" xfId="0" applyNumberFormat="1" applyFont="1" applyFill="1" applyBorder="1" applyAlignment="1" applyProtection="1">
      <alignment horizontal="left" vertical="top" wrapText="1"/>
    </xf>
    <xf numFmtId="7" fontId="33" fillId="0" borderId="17" xfId="0" applyNumberFormat="1" applyFont="1" applyFill="1" applyBorder="1" applyAlignment="1" applyProtection="1">
      <alignment horizontal="right" vertical="top" wrapText="1"/>
    </xf>
    <xf numFmtId="0" fontId="34" fillId="0" borderId="17" xfId="0" applyNumberFormat="1" applyFont="1" applyFill="1" applyBorder="1" applyAlignment="1" applyProtection="1">
      <alignment horizontal="left" vertical="top" wrapText="1"/>
    </xf>
    <xf numFmtId="10" fontId="1" fillId="0" borderId="17" xfId="6" applyNumberFormat="1" applyFont="1" applyFill="1" applyBorder="1" applyAlignment="1">
      <alignment horizontal="center" vertical="center" wrapText="1"/>
    </xf>
    <xf numFmtId="10" fontId="3" fillId="0" borderId="17" xfId="6" applyNumberFormat="1" applyFont="1" applyFill="1" applyBorder="1" applyAlignment="1">
      <alignment horizontal="center" vertical="center" wrapText="1"/>
    </xf>
    <xf numFmtId="0" fontId="127" fillId="0" borderId="0" xfId="0" applyFont="1" applyFill="1" applyAlignment="1">
      <alignment vertical="center"/>
    </xf>
    <xf numFmtId="7" fontId="0" fillId="0" borderId="0" xfId="0" applyNumberFormat="1"/>
    <xf numFmtId="7" fontId="119" fillId="0" borderId="107" xfId="0" applyNumberFormat="1" applyFont="1" applyFill="1" applyBorder="1" applyAlignment="1" applyProtection="1">
      <alignment horizontal="right" vertical="top" wrapText="1"/>
    </xf>
    <xf numFmtId="7" fontId="119" fillId="0" borderId="108" xfId="0" applyNumberFormat="1" applyFont="1" applyFill="1" applyBorder="1" applyAlignment="1" applyProtection="1">
      <alignment horizontal="right" vertical="top" wrapText="1"/>
    </xf>
    <xf numFmtId="7" fontId="3" fillId="0" borderId="19" xfId="0" applyNumberFormat="1" applyFont="1" applyBorder="1" applyAlignment="1">
      <alignment vertical="center"/>
    </xf>
    <xf numFmtId="7" fontId="33" fillId="0" borderId="14" xfId="0" applyNumberFormat="1" applyFont="1" applyFill="1" applyBorder="1" applyAlignment="1" applyProtection="1">
      <alignment horizontal="right" vertical="top" wrapText="1"/>
    </xf>
    <xf numFmtId="7" fontId="34" fillId="0" borderId="14" xfId="0" applyNumberFormat="1" applyFont="1" applyFill="1" applyBorder="1" applyAlignment="1" applyProtection="1">
      <alignment horizontal="right" vertical="top" wrapText="1"/>
    </xf>
    <xf numFmtId="0" fontId="5" fillId="0" borderId="19" xfId="0" applyFont="1" applyFill="1" applyBorder="1" applyAlignment="1">
      <alignment horizontal="right" vertical="center" indent="1"/>
    </xf>
    <xf numFmtId="0" fontId="5" fillId="0" borderId="19" xfId="0" applyFont="1" applyBorder="1" applyAlignment="1">
      <alignment vertical="center"/>
    </xf>
    <xf numFmtId="10" fontId="3" fillId="0" borderId="19" xfId="6" applyNumberFormat="1" applyFont="1" applyFill="1" applyBorder="1" applyAlignment="1">
      <alignment horizontal="center" vertical="center" wrapText="1"/>
    </xf>
    <xf numFmtId="0" fontId="73" fillId="0" borderId="10" xfId="0" applyFont="1" applyBorder="1" applyAlignment="1">
      <alignment horizontal="justify" vertical="center" wrapText="1"/>
    </xf>
    <xf numFmtId="0" fontId="73" fillId="0" borderId="11" xfId="0" applyFont="1" applyBorder="1" applyAlignment="1">
      <alignment horizontal="justify" vertical="center" wrapText="1"/>
    </xf>
    <xf numFmtId="0" fontId="73" fillId="0" borderId="12" xfId="0" applyFont="1" applyBorder="1" applyAlignment="1">
      <alignment horizontal="justify" vertical="center" wrapText="1"/>
    </xf>
    <xf numFmtId="0" fontId="74" fillId="6" borderId="51" xfId="0" applyFont="1" applyFill="1" applyBorder="1" applyAlignment="1">
      <alignment horizontal="justify" vertical="center" wrapText="1"/>
    </xf>
    <xf numFmtId="0" fontId="74" fillId="6" borderId="13" xfId="0" applyFont="1" applyFill="1" applyBorder="1" applyAlignment="1">
      <alignment horizontal="justify" vertical="center" wrapText="1"/>
    </xf>
    <xf numFmtId="0" fontId="74" fillId="0" borderId="51" xfId="0" applyFont="1" applyBorder="1" applyAlignment="1">
      <alignment horizontal="justify" vertical="center" wrapText="1"/>
    </xf>
    <xf numFmtId="0" fontId="74" fillId="0" borderId="13" xfId="0" applyFont="1" applyBorder="1" applyAlignment="1">
      <alignment horizontal="justify" vertical="center" wrapText="1"/>
    </xf>
    <xf numFmtId="0" fontId="6" fillId="0" borderId="8" xfId="0" applyFont="1" applyFill="1" applyBorder="1" applyAlignment="1" applyProtection="1">
      <alignment horizontal="center" vertical="top"/>
      <protection locked="0"/>
    </xf>
    <xf numFmtId="0" fontId="10" fillId="0" borderId="0" xfId="0" applyFont="1" applyFill="1" applyBorder="1" applyAlignment="1" applyProtection="1">
      <alignment horizontal="center" vertical="top"/>
      <protection locked="0"/>
    </xf>
    <xf numFmtId="0" fontId="6"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left" wrapText="1"/>
      <protection locked="0"/>
    </xf>
    <xf numFmtId="0" fontId="11" fillId="0" borderId="8" xfId="0" applyFont="1" applyFill="1" applyBorder="1" applyAlignment="1" applyProtection="1">
      <alignment horizontal="left" vertical="top"/>
      <protection locked="0"/>
    </xf>
    <xf numFmtId="0" fontId="3" fillId="4" borderId="0" xfId="0" applyFont="1" applyFill="1" applyBorder="1" applyAlignment="1" applyProtection="1">
      <alignment horizontal="center" vertical="center" wrapText="1"/>
      <protection locked="0"/>
    </xf>
    <xf numFmtId="0" fontId="67" fillId="4" borderId="8" xfId="0" applyFont="1" applyFill="1" applyBorder="1" applyAlignment="1">
      <alignment horizontal="center" vertical="center" wrapText="1"/>
    </xf>
    <xf numFmtId="0" fontId="10" fillId="0" borderId="0" xfId="0" applyFont="1" applyFill="1" applyBorder="1" applyAlignment="1" applyProtection="1">
      <alignment horizontal="center" vertical="top"/>
    </xf>
    <xf numFmtId="0" fontId="11" fillId="0" borderId="8" xfId="0" applyFont="1" applyFill="1" applyBorder="1" applyAlignment="1" applyProtection="1">
      <alignment horizontal="center" vertical="top"/>
      <protection locked="0"/>
    </xf>
    <xf numFmtId="0" fontId="21" fillId="2" borderId="5" xfId="0" applyFont="1" applyFill="1" applyBorder="1" applyAlignment="1" applyProtection="1">
      <alignment horizontal="left" vertical="center" wrapText="1"/>
      <protection locked="0"/>
    </xf>
    <xf numFmtId="0" fontId="21" fillId="2" borderId="0" xfId="0" applyFont="1" applyFill="1" applyBorder="1" applyAlignment="1" applyProtection="1">
      <alignment horizontal="left" vertical="center" wrapText="1"/>
      <protection locked="0"/>
    </xf>
    <xf numFmtId="0" fontId="16" fillId="0" borderId="38"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38" fillId="7" borderId="1" xfId="0" applyFont="1" applyFill="1" applyBorder="1" applyAlignment="1">
      <alignment horizontal="center" vertical="center"/>
    </xf>
    <xf numFmtId="0" fontId="38" fillId="7" borderId="2" xfId="0" applyFont="1" applyFill="1" applyBorder="1" applyAlignment="1">
      <alignment horizontal="center" vertical="center"/>
    </xf>
    <xf numFmtId="0" fontId="38" fillId="7" borderId="3" xfId="0" applyFont="1" applyFill="1" applyBorder="1" applyAlignment="1">
      <alignment horizontal="center" vertical="center"/>
    </xf>
    <xf numFmtId="0" fontId="38" fillId="7" borderId="5" xfId="0" applyFont="1" applyFill="1" applyBorder="1" applyAlignment="1">
      <alignment horizontal="center" vertical="center"/>
    </xf>
    <xf numFmtId="0" fontId="38" fillId="7" borderId="0" xfId="0" applyFont="1" applyFill="1" applyBorder="1" applyAlignment="1">
      <alignment horizontal="center" vertical="center"/>
    </xf>
    <xf numFmtId="0" fontId="38" fillId="7" borderId="6" xfId="0" applyFont="1" applyFill="1" applyBorder="1" applyAlignment="1">
      <alignment horizontal="center" vertical="center"/>
    </xf>
    <xf numFmtId="0" fontId="38" fillId="7" borderId="7" xfId="0" applyFont="1" applyFill="1" applyBorder="1" applyAlignment="1">
      <alignment horizontal="center" vertical="center"/>
    </xf>
    <xf numFmtId="0" fontId="38" fillId="7" borderId="8" xfId="0" applyFont="1" applyFill="1" applyBorder="1" applyAlignment="1">
      <alignment horizontal="center" vertical="center"/>
    </xf>
    <xf numFmtId="0" fontId="38" fillId="7" borderId="9" xfId="0" applyFont="1" applyFill="1" applyBorder="1" applyAlignment="1">
      <alignment horizontal="center" vertical="center"/>
    </xf>
    <xf numFmtId="0" fontId="6" fillId="0" borderId="0" xfId="0" applyFont="1" applyFill="1" applyBorder="1" applyAlignment="1" applyProtection="1">
      <alignment horizontal="center" vertical="top"/>
    </xf>
    <xf numFmtId="0" fontId="25" fillId="0" borderId="5" xfId="0" applyFont="1" applyFill="1" applyBorder="1" applyAlignment="1" applyProtection="1">
      <alignment horizontal="justify" vertical="top"/>
      <protection locked="0"/>
    </xf>
    <xf numFmtId="0" fontId="25" fillId="0" borderId="0" xfId="0" applyFont="1" applyFill="1" applyBorder="1" applyAlignment="1" applyProtection="1">
      <alignment horizontal="justify" vertical="top"/>
      <protection locked="0"/>
    </xf>
    <xf numFmtId="0" fontId="3" fillId="0" borderId="42" xfId="0" applyFont="1" applyFill="1" applyBorder="1" applyAlignment="1" applyProtection="1">
      <alignment horizontal="center" vertical="center"/>
      <protection locked="0"/>
    </xf>
    <xf numFmtId="0" fontId="3" fillId="0" borderId="41" xfId="0" applyFont="1" applyFill="1" applyBorder="1" applyAlignment="1" applyProtection="1">
      <alignment horizontal="center" vertical="center"/>
      <protection locked="0"/>
    </xf>
    <xf numFmtId="0" fontId="6" fillId="0" borderId="44"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xf>
    <xf numFmtId="0" fontId="11" fillId="0" borderId="8" xfId="0" applyFont="1" applyFill="1" applyBorder="1" applyAlignment="1" applyProtection="1">
      <alignment horizontal="center" vertical="center"/>
      <protection locked="0"/>
    </xf>
    <xf numFmtId="0" fontId="6" fillId="0" borderId="5" xfId="0" applyFont="1" applyBorder="1" applyAlignment="1" applyProtection="1">
      <alignment horizontal="justify" vertical="top" wrapText="1"/>
      <protection locked="0"/>
    </xf>
    <xf numFmtId="0" fontId="6" fillId="0" borderId="0" xfId="0" applyFont="1" applyBorder="1" applyAlignment="1" applyProtection="1">
      <alignment horizontal="justify" vertical="top" wrapText="1"/>
      <protection locked="0"/>
    </xf>
    <xf numFmtId="0" fontId="7" fillId="0" borderId="7" xfId="0" applyFont="1" applyBorder="1" applyAlignment="1" applyProtection="1">
      <alignment horizontal="justify" vertical="top" wrapText="1"/>
      <protection locked="0"/>
    </xf>
    <xf numFmtId="0" fontId="7" fillId="0" borderId="8" xfId="0" applyFont="1" applyBorder="1" applyAlignment="1" applyProtection="1">
      <alignment horizontal="justify" vertical="top" wrapText="1"/>
      <protection locked="0"/>
    </xf>
    <xf numFmtId="0" fontId="10" fillId="0" borderId="1"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0" fontId="7" fillId="0" borderId="5" xfId="0" applyFont="1" applyBorder="1" applyAlignment="1" applyProtection="1">
      <alignment horizontal="justify" vertical="top" wrapText="1"/>
      <protection locked="0"/>
    </xf>
    <xf numFmtId="0" fontId="7" fillId="0" borderId="0" xfId="0" applyFont="1" applyBorder="1" applyAlignment="1" applyProtection="1">
      <alignment horizontal="justify" vertical="top" wrapText="1"/>
      <protection locked="0"/>
    </xf>
    <xf numFmtId="0" fontId="6" fillId="0" borderId="5" xfId="0" applyFont="1" applyBorder="1" applyAlignment="1" applyProtection="1">
      <alignment horizontal="left" vertical="top" wrapText="1" indent="5"/>
      <protection locked="0"/>
    </xf>
    <xf numFmtId="0" fontId="6" fillId="0" borderId="0" xfId="0" applyFont="1" applyBorder="1" applyAlignment="1" applyProtection="1">
      <alignment horizontal="left" vertical="top" wrapText="1" indent="5"/>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58" fillId="0" borderId="5" xfId="0" applyFont="1" applyBorder="1" applyAlignment="1">
      <alignment horizontal="justify" vertical="center" wrapText="1"/>
    </xf>
    <xf numFmtId="0" fontId="58" fillId="0" borderId="6" xfId="0" applyFont="1" applyBorder="1" applyAlignment="1">
      <alignment horizontal="justify" vertical="center" wrapText="1"/>
    </xf>
    <xf numFmtId="0" fontId="38" fillId="4" borderId="0" xfId="0" applyFont="1" applyFill="1" applyBorder="1" applyAlignment="1">
      <alignment horizontal="center" vertical="center" wrapText="1"/>
    </xf>
    <xf numFmtId="0" fontId="57" fillId="4" borderId="8"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58" fillId="4" borderId="3" xfId="0" applyFont="1" applyFill="1" applyBorder="1" applyAlignment="1">
      <alignment horizontal="center" vertical="center" wrapText="1"/>
    </xf>
    <xf numFmtId="0" fontId="58" fillId="4" borderId="7" xfId="0" applyFont="1" applyFill="1" applyBorder="1" applyAlignment="1">
      <alignment horizontal="center" vertical="center" wrapText="1"/>
    </xf>
    <xf numFmtId="0" fontId="58" fillId="4" borderId="9" xfId="0" applyFont="1" applyFill="1" applyBorder="1" applyAlignment="1">
      <alignment horizontal="center" vertical="center" wrapText="1"/>
    </xf>
    <xf numFmtId="0" fontId="58" fillId="4" borderId="51" xfId="0" applyFont="1" applyFill="1" applyBorder="1" applyAlignment="1">
      <alignment horizontal="center" vertical="center" wrapText="1"/>
    </xf>
    <xf numFmtId="0" fontId="58" fillId="4" borderId="13" xfId="0" applyFont="1" applyFill="1" applyBorder="1" applyAlignment="1">
      <alignment horizontal="center" vertical="center" wrapText="1"/>
    </xf>
    <xf numFmtId="0" fontId="58" fillId="0" borderId="1" xfId="0" applyFont="1" applyBorder="1" applyAlignment="1">
      <alignment horizontal="justify" vertical="center" wrapText="1"/>
    </xf>
    <xf numFmtId="0" fontId="58" fillId="0" borderId="3" xfId="0" applyFont="1" applyBorder="1" applyAlignment="1">
      <alignment horizontal="justify" vertical="center" wrapText="1"/>
    </xf>
    <xf numFmtId="0" fontId="61" fillId="0" borderId="0" xfId="0" applyFont="1" applyAlignment="1">
      <alignment horizontal="center" vertical="justify"/>
    </xf>
    <xf numFmtId="0" fontId="62" fillId="6" borderId="51" xfId="0" applyFont="1" applyFill="1" applyBorder="1" applyAlignment="1">
      <alignment horizontal="center" vertical="center"/>
    </xf>
    <xf numFmtId="0" fontId="62" fillId="6" borderId="4" xfId="0" applyFont="1" applyFill="1" applyBorder="1" applyAlignment="1">
      <alignment horizontal="center" vertical="center"/>
    </xf>
    <xf numFmtId="0" fontId="62" fillId="6" borderId="13" xfId="0" applyFont="1" applyFill="1" applyBorder="1" applyAlignment="1">
      <alignment horizontal="center" vertical="center"/>
    </xf>
    <xf numFmtId="0" fontId="62" fillId="6" borderId="51" xfId="0" applyFont="1" applyFill="1" applyBorder="1" applyAlignment="1">
      <alignment horizontal="center" vertical="center" wrapText="1"/>
    </xf>
    <xf numFmtId="0" fontId="62" fillId="6" borderId="4" xfId="0" applyFont="1" applyFill="1" applyBorder="1" applyAlignment="1">
      <alignment horizontal="center" vertical="center" wrapText="1"/>
    </xf>
    <xf numFmtId="0" fontId="62" fillId="6" borderId="13" xfId="0" applyFont="1" applyFill="1" applyBorder="1" applyAlignment="1">
      <alignment horizontal="center" vertical="center" wrapText="1"/>
    </xf>
    <xf numFmtId="0" fontId="59" fillId="0" borderId="5" xfId="0" applyFont="1" applyBorder="1" applyAlignment="1">
      <alignment horizontal="justify" vertical="center" wrapText="1"/>
    </xf>
    <xf numFmtId="0" fontId="59" fillId="0" borderId="6" xfId="0" applyFont="1" applyBorder="1" applyAlignment="1">
      <alignment horizontal="justify" vertical="center" wrapText="1"/>
    </xf>
    <xf numFmtId="0" fontId="60" fillId="0" borderId="7" xfId="0" applyFont="1" applyBorder="1" applyAlignment="1">
      <alignment horizontal="justify" vertical="center" wrapText="1"/>
    </xf>
    <xf numFmtId="0" fontId="60" fillId="0" borderId="9" xfId="0" applyFont="1" applyBorder="1" applyAlignment="1">
      <alignment horizontal="justify" vertical="center" wrapText="1"/>
    </xf>
    <xf numFmtId="43" fontId="6" fillId="0" borderId="10" xfId="0" applyNumberFormat="1" applyFont="1" applyBorder="1" applyAlignment="1">
      <alignment horizontal="center" vertical="center" wrapText="1"/>
    </xf>
    <xf numFmtId="43" fontId="6" fillId="0" borderId="11" xfId="0" applyNumberFormat="1" applyFont="1" applyBorder="1" applyAlignment="1">
      <alignment horizontal="center" vertical="center" wrapText="1"/>
    </xf>
    <xf numFmtId="43" fontId="6" fillId="0" borderId="12" xfId="0" applyNumberFormat="1" applyFont="1" applyBorder="1" applyAlignment="1">
      <alignment horizontal="center" vertical="center" wrapText="1"/>
    </xf>
    <xf numFmtId="0" fontId="3" fillId="0" borderId="1" xfId="0" applyFont="1" applyBorder="1" applyAlignment="1">
      <alignment horizontal="center" vertical="justify"/>
    </xf>
    <xf numFmtId="0" fontId="3" fillId="0" borderId="2" xfId="0" applyFont="1" applyBorder="1" applyAlignment="1">
      <alignment horizontal="center" vertical="justify"/>
    </xf>
    <xf numFmtId="0" fontId="3" fillId="0" borderId="3" xfId="0" applyFont="1" applyBorder="1" applyAlignment="1">
      <alignment horizontal="center" vertical="justify"/>
    </xf>
    <xf numFmtId="0" fontId="3" fillId="0" borderId="5" xfId="0" applyFont="1" applyBorder="1" applyAlignment="1">
      <alignment horizontal="center" vertical="justify"/>
    </xf>
    <xf numFmtId="0" fontId="3" fillId="0" borderId="0" xfId="0" applyFont="1" applyBorder="1" applyAlignment="1">
      <alignment horizontal="center" vertical="justify"/>
    </xf>
    <xf numFmtId="0" fontId="3" fillId="0" borderId="6" xfId="0" applyFont="1" applyBorder="1" applyAlignment="1">
      <alignment horizontal="center" vertical="justify"/>
    </xf>
    <xf numFmtId="0" fontId="3" fillId="0" borderId="7" xfId="0" applyFont="1" applyBorder="1" applyAlignment="1">
      <alignment horizontal="center" vertical="justify"/>
    </xf>
    <xf numFmtId="0" fontId="3" fillId="0" borderId="8" xfId="0" applyFont="1" applyBorder="1" applyAlignment="1">
      <alignment horizontal="center" vertical="justify"/>
    </xf>
    <xf numFmtId="0" fontId="3" fillId="0" borderId="9" xfId="0" applyFont="1" applyBorder="1" applyAlignment="1">
      <alignment horizontal="center" vertical="justify"/>
    </xf>
    <xf numFmtId="0" fontId="6" fillId="0" borderId="0" xfId="0" applyFont="1" applyFill="1" applyBorder="1" applyAlignment="1">
      <alignment horizontal="center" vertical="top"/>
    </xf>
    <xf numFmtId="0" fontId="10" fillId="0" borderId="0" xfId="0" applyFont="1" applyFill="1" applyBorder="1" applyAlignment="1">
      <alignment horizontal="center" vertical="top"/>
    </xf>
    <xf numFmtId="0" fontId="11" fillId="0" borderId="8" xfId="0" applyFont="1" applyFill="1" applyBorder="1" applyAlignment="1">
      <alignment horizontal="center" vertical="top"/>
    </xf>
    <xf numFmtId="0" fontId="113" fillId="0" borderId="60" xfId="0" applyNumberFormat="1" applyFont="1" applyBorder="1" applyAlignment="1">
      <alignment vertical="center"/>
    </xf>
    <xf numFmtId="0" fontId="113" fillId="0" borderId="33" xfId="0" applyNumberFormat="1" applyFont="1" applyBorder="1" applyAlignment="1">
      <alignment vertical="center"/>
    </xf>
    <xf numFmtId="0" fontId="113" fillId="0" borderId="37" xfId="0" applyNumberFormat="1" applyFont="1" applyBorder="1" applyAlignment="1">
      <alignment vertical="center"/>
    </xf>
    <xf numFmtId="0" fontId="113" fillId="0" borderId="60" xfId="0" applyNumberFormat="1" applyFont="1" applyBorder="1" applyAlignment="1">
      <alignment vertical="center" wrapText="1"/>
    </xf>
    <xf numFmtId="0" fontId="113" fillId="0" borderId="33" xfId="0" applyNumberFormat="1" applyFont="1" applyBorder="1" applyAlignment="1">
      <alignment vertical="center" wrapText="1"/>
    </xf>
    <xf numFmtId="0" fontId="113" fillId="0" borderId="37" xfId="0" applyNumberFormat="1" applyFont="1" applyBorder="1" applyAlignment="1">
      <alignment vertical="center" wrapText="1"/>
    </xf>
    <xf numFmtId="0" fontId="0" fillId="0" borderId="0" xfId="0" applyFont="1" applyAlignment="1">
      <alignment horizontal="center"/>
    </xf>
    <xf numFmtId="0" fontId="105" fillId="0" borderId="0" xfId="0" applyFont="1" applyFill="1" applyBorder="1" applyAlignment="1">
      <alignment horizontal="center"/>
    </xf>
    <xf numFmtId="49" fontId="112" fillId="0" borderId="0" xfId="0" applyNumberFormat="1" applyFont="1" applyFill="1" applyBorder="1" applyAlignment="1"/>
    <xf numFmtId="4" fontId="112" fillId="0" borderId="0" xfId="0" applyNumberFormat="1" applyFont="1" applyFill="1" applyBorder="1" applyAlignment="1"/>
    <xf numFmtId="166" fontId="112" fillId="0" borderId="0" xfId="0" applyNumberFormat="1" applyFont="1" applyFill="1" applyBorder="1" applyAlignment="1"/>
    <xf numFmtId="0" fontId="7" fillId="2" borderId="0" xfId="0" applyFont="1" applyFill="1" applyBorder="1" applyAlignment="1" applyProtection="1">
      <alignment wrapText="1"/>
      <protection locked="0"/>
    </xf>
    <xf numFmtId="0" fontId="79" fillId="0" borderId="19" xfId="0" applyFont="1" applyFill="1" applyBorder="1" applyAlignment="1">
      <alignment vertical="center" wrapText="1"/>
    </xf>
    <xf numFmtId="0" fontId="112" fillId="0" borderId="19" xfId="0" applyFont="1" applyFill="1" applyBorder="1" applyAlignment="1">
      <alignment vertical="center" wrapText="1"/>
    </xf>
    <xf numFmtId="0" fontId="112" fillId="0" borderId="60" xfId="0" applyFont="1" applyFill="1" applyBorder="1" applyAlignment="1">
      <alignment vertical="top" wrapText="1"/>
    </xf>
    <xf numFmtId="0" fontId="112" fillId="0" borderId="33" xfId="0" applyFont="1" applyFill="1" applyBorder="1" applyAlignment="1">
      <alignment vertical="top" wrapText="1"/>
    </xf>
    <xf numFmtId="0" fontId="112" fillId="0" borderId="37" xfId="0" applyFont="1" applyFill="1" applyBorder="1" applyAlignment="1">
      <alignment vertical="top" wrapText="1"/>
    </xf>
    <xf numFmtId="49" fontId="101" fillId="0" borderId="60" xfId="0" applyNumberFormat="1" applyFont="1" applyBorder="1" applyAlignment="1">
      <alignment horizontal="right"/>
    </xf>
    <xf numFmtId="49" fontId="101" fillId="0" borderId="33" xfId="0" applyNumberFormat="1" applyFont="1" applyBorder="1" applyAlignment="1">
      <alignment horizontal="right"/>
    </xf>
    <xf numFmtId="49" fontId="101" fillId="0" borderId="37" xfId="0" applyNumberFormat="1" applyFont="1" applyBorder="1" applyAlignment="1">
      <alignment horizontal="right"/>
    </xf>
    <xf numFmtId="0" fontId="116" fillId="0" borderId="0" xfId="0" applyFont="1" applyFill="1" applyBorder="1" applyAlignment="1">
      <alignment horizontal="left" vertical="justify" wrapText="1"/>
    </xf>
    <xf numFmtId="0" fontId="98" fillId="0" borderId="0" xfId="0" applyFont="1" applyFill="1" applyBorder="1" applyAlignment="1">
      <alignment horizontal="center" vertical="top"/>
    </xf>
    <xf numFmtId="0" fontId="101" fillId="0" borderId="0" xfId="0" applyFont="1" applyFill="1" applyBorder="1" applyAlignment="1">
      <alignment horizontal="center" vertical="top"/>
    </xf>
    <xf numFmtId="0" fontId="0" fillId="0" borderId="0" xfId="0" applyAlignment="1">
      <alignment horizontal="left" vertical="justify" wrapText="1"/>
    </xf>
    <xf numFmtId="0" fontId="0" fillId="0" borderId="0" xfId="0" applyFill="1" applyAlignment="1">
      <alignment horizontal="left" vertical="center" wrapText="1"/>
    </xf>
    <xf numFmtId="0" fontId="0" fillId="0" borderId="0" xfId="0" applyAlignment="1">
      <alignment horizontal="left" wrapText="1"/>
    </xf>
    <xf numFmtId="0" fontId="5" fillId="0" borderId="0" xfId="0" applyFont="1" applyFill="1" applyBorder="1" applyAlignment="1" applyProtection="1">
      <alignment wrapText="1"/>
      <protection locked="0"/>
    </xf>
    <xf numFmtId="0" fontId="107" fillId="17" borderId="101" xfId="0" applyFont="1" applyFill="1" applyBorder="1" applyAlignment="1">
      <alignment vertical="center"/>
    </xf>
    <xf numFmtId="0" fontId="107" fillId="17" borderId="102" xfId="0" applyFont="1" applyFill="1" applyBorder="1" applyAlignment="1">
      <alignment vertical="center"/>
    </xf>
    <xf numFmtId="0" fontId="107" fillId="17" borderId="103" xfId="0" applyFont="1" applyFill="1" applyBorder="1" applyAlignment="1">
      <alignment vertical="center"/>
    </xf>
    <xf numFmtId="0" fontId="108" fillId="17" borderId="101" xfId="0" applyFont="1" applyFill="1" applyBorder="1" applyAlignment="1">
      <alignment vertical="center"/>
    </xf>
    <xf numFmtId="0" fontId="108" fillId="17" borderId="102" xfId="0" applyFont="1" applyFill="1" applyBorder="1" applyAlignment="1">
      <alignment vertical="center"/>
    </xf>
    <xf numFmtId="0" fontId="108" fillId="17" borderId="103" xfId="0" applyFont="1" applyFill="1" applyBorder="1" applyAlignment="1">
      <alignment vertical="center"/>
    </xf>
    <xf numFmtId="0" fontId="105" fillId="0" borderId="0" xfId="0" applyFont="1" applyFill="1" applyBorder="1" applyAlignment="1"/>
    <xf numFmtId="0" fontId="6" fillId="0" borderId="0" xfId="0" applyFont="1" applyFill="1" applyBorder="1" applyAlignment="1" applyProtection="1">
      <alignment wrapText="1"/>
      <protection locked="0"/>
    </xf>
    <xf numFmtId="0" fontId="107" fillId="17" borderId="100" xfId="0" applyFont="1" applyFill="1" applyBorder="1" applyAlignment="1">
      <alignment horizontal="left" wrapText="1"/>
    </xf>
    <xf numFmtId="0" fontId="108" fillId="17" borderId="100" xfId="0" applyFont="1" applyFill="1" applyBorder="1" applyAlignment="1">
      <alignment horizontal="left" vertical="center" wrapText="1"/>
    </xf>
    <xf numFmtId="0" fontId="107" fillId="18" borderId="100" xfId="0" applyFont="1" applyFill="1" applyBorder="1" applyAlignment="1">
      <alignment horizontal="left" wrapText="1"/>
    </xf>
    <xf numFmtId="0" fontId="101" fillId="0" borderId="60" xfId="0" applyFont="1" applyFill="1" applyBorder="1" applyAlignment="1"/>
    <xf numFmtId="0" fontId="101" fillId="0" borderId="33" xfId="0" applyFont="1" applyFill="1" applyBorder="1" applyAlignment="1"/>
    <xf numFmtId="0" fontId="101" fillId="0" borderId="37" xfId="0" applyFont="1" applyFill="1" applyBorder="1" applyAlignment="1"/>
    <xf numFmtId="0" fontId="0" fillId="0" borderId="0" xfId="0" applyFill="1" applyAlignment="1">
      <alignment horizontal="justify" vertical="justify" wrapText="1"/>
    </xf>
    <xf numFmtId="0" fontId="0" fillId="0" borderId="0" xfId="0" applyAlignment="1">
      <alignment horizontal="center"/>
    </xf>
    <xf numFmtId="0" fontId="0" fillId="0" borderId="0" xfId="0" applyAlignment="1">
      <alignment horizontal="justify" vertical="justify" wrapText="1"/>
    </xf>
    <xf numFmtId="0" fontId="39" fillId="0" borderId="0" xfId="0" applyFont="1" applyAlignment="1">
      <alignment horizontal="left" vertical="justify" wrapText="1"/>
    </xf>
    <xf numFmtId="0" fontId="105" fillId="0" borderId="0" xfId="0" applyFont="1" applyFill="1" applyBorder="1" applyAlignment="1">
      <alignment horizontal="center" vertical="justify"/>
    </xf>
    <xf numFmtId="0" fontId="106" fillId="17" borderId="0" xfId="0" applyFont="1" applyFill="1" applyBorder="1" applyAlignment="1">
      <alignment horizontal="center" vertical="top" wrapText="1"/>
    </xf>
    <xf numFmtId="0" fontId="107" fillId="18" borderId="101" xfId="0" applyFont="1" applyFill="1" applyBorder="1" applyAlignment="1">
      <alignment vertical="center"/>
    </xf>
    <xf numFmtId="0" fontId="107" fillId="18" borderId="102" xfId="0" applyFont="1" applyFill="1" applyBorder="1" applyAlignment="1">
      <alignment vertical="center"/>
    </xf>
    <xf numFmtId="0" fontId="107" fillId="18" borderId="103" xfId="0" applyFont="1" applyFill="1" applyBorder="1" applyAlignment="1">
      <alignment vertical="center"/>
    </xf>
    <xf numFmtId="0" fontId="106" fillId="17" borderId="0" xfId="0" applyFont="1" applyFill="1" applyBorder="1" applyAlignment="1">
      <alignment horizontal="center" vertical="center"/>
    </xf>
    <xf numFmtId="0" fontId="0" fillId="0" borderId="0" xfId="0" applyAlignment="1">
      <alignment horizontal="justify" wrapText="1"/>
    </xf>
    <xf numFmtId="0" fontId="0" fillId="0" borderId="0" xfId="0" applyAlignment="1">
      <alignment horizontal="justify"/>
    </xf>
    <xf numFmtId="0" fontId="104" fillId="0" borderId="0" xfId="0" applyFont="1"/>
    <xf numFmtId="0" fontId="3" fillId="0" borderId="1"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indent="1"/>
      <protection locked="0"/>
    </xf>
    <xf numFmtId="0" fontId="1" fillId="0" borderId="6" xfId="0" applyFont="1" applyBorder="1" applyAlignment="1" applyProtection="1">
      <alignment horizontal="left" vertical="center" wrapText="1" indent="1"/>
      <protection locked="0"/>
    </xf>
    <xf numFmtId="0" fontId="93" fillId="0" borderId="0" xfId="0" applyFont="1" applyBorder="1" applyAlignment="1" applyProtection="1">
      <alignment horizontal="left" vertical="center" wrapText="1"/>
      <protection locked="0"/>
    </xf>
    <xf numFmtId="0" fontId="25" fillId="0" borderId="10" xfId="0" applyFont="1" applyBorder="1" applyAlignment="1" applyProtection="1">
      <alignment horizontal="center" vertical="center"/>
      <protection locked="0"/>
    </xf>
    <xf numFmtId="0" fontId="25" fillId="0" borderId="12"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46"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3" fillId="0" borderId="48" xfId="0" applyFont="1" applyFill="1" applyBorder="1" applyAlignment="1" applyProtection="1">
      <alignment horizontal="center" vertical="center"/>
      <protection locked="0"/>
    </xf>
    <xf numFmtId="0" fontId="3" fillId="0" borderId="88" xfId="0" applyFont="1" applyFill="1" applyBorder="1" applyAlignment="1" applyProtection="1">
      <alignment horizontal="center" vertical="center"/>
      <protection locked="0"/>
    </xf>
    <xf numFmtId="0" fontId="3" fillId="0" borderId="49" xfId="0" applyFont="1" applyFill="1" applyBorder="1" applyAlignment="1" applyProtection="1">
      <alignment horizontal="center" vertical="center"/>
      <protection locked="0"/>
    </xf>
    <xf numFmtId="0" fontId="3" fillId="0" borderId="56" xfId="0" applyFont="1" applyFill="1" applyBorder="1" applyAlignment="1" applyProtection="1">
      <alignment horizontal="center" vertical="center"/>
      <protection locked="0"/>
    </xf>
    <xf numFmtId="0" fontId="3" fillId="0" borderId="44" xfId="0" applyFont="1" applyBorder="1" applyAlignment="1" applyProtection="1">
      <alignment horizontal="center" vertical="center"/>
    </xf>
    <xf numFmtId="0" fontId="3" fillId="0" borderId="57" xfId="0" applyFont="1" applyBorder="1" applyAlignment="1" applyProtection="1">
      <alignment horizontal="center" vertical="center"/>
    </xf>
    <xf numFmtId="0" fontId="38" fillId="4" borderId="0" xfId="0" applyFont="1" applyFill="1" applyBorder="1" applyAlignment="1" applyProtection="1">
      <alignment horizontal="center" vertical="center" wrapText="1"/>
      <protection locked="0"/>
    </xf>
    <xf numFmtId="0" fontId="58" fillId="4" borderId="1" xfId="0" applyFont="1" applyFill="1" applyBorder="1" applyAlignment="1">
      <alignment horizontal="center" vertical="center"/>
    </xf>
    <xf numFmtId="0" fontId="58" fillId="4" borderId="2" xfId="0" applyFont="1" applyFill="1" applyBorder="1" applyAlignment="1">
      <alignment horizontal="center" vertical="center"/>
    </xf>
    <xf numFmtId="0" fontId="58" fillId="4" borderId="3" xfId="0" applyFont="1" applyFill="1" applyBorder="1" applyAlignment="1">
      <alignment horizontal="center" vertical="center"/>
    </xf>
    <xf numFmtId="0" fontId="58" fillId="4" borderId="10" xfId="0" applyFont="1" applyFill="1" applyBorder="1" applyAlignment="1">
      <alignment horizontal="center" vertical="center"/>
    </xf>
    <xf numFmtId="0" fontId="58" fillId="4" borderId="11" xfId="0" applyFont="1" applyFill="1" applyBorder="1" applyAlignment="1">
      <alignment horizontal="center" vertical="center"/>
    </xf>
    <xf numFmtId="0" fontId="58" fillId="4" borderId="12" xfId="0" applyFont="1" applyFill="1" applyBorder="1" applyAlignment="1">
      <alignment horizontal="center" vertical="center"/>
    </xf>
    <xf numFmtId="0" fontId="58" fillId="4" borderId="51" xfId="0" applyFont="1" applyFill="1" applyBorder="1" applyAlignment="1">
      <alignment horizontal="center" vertical="center"/>
    </xf>
    <xf numFmtId="0" fontId="58" fillId="4" borderId="4" xfId="0" applyFont="1" applyFill="1" applyBorder="1" applyAlignment="1">
      <alignment horizontal="center" vertical="center"/>
    </xf>
    <xf numFmtId="0" fontId="58" fillId="4" borderId="13" xfId="0" applyFont="1" applyFill="1" applyBorder="1" applyAlignment="1">
      <alignment horizontal="center" vertical="center"/>
    </xf>
    <xf numFmtId="0" fontId="58" fillId="4" borderId="5" xfId="0" applyFont="1" applyFill="1" applyBorder="1" applyAlignment="1">
      <alignment horizontal="center" vertical="center"/>
    </xf>
    <xf numFmtId="0" fontId="58" fillId="4" borderId="0" xfId="0" applyFont="1" applyFill="1" applyBorder="1" applyAlignment="1">
      <alignment horizontal="center" vertical="center"/>
    </xf>
    <xf numFmtId="0" fontId="58" fillId="4" borderId="6" xfId="0" applyFont="1" applyFill="1" applyBorder="1" applyAlignment="1">
      <alignment horizontal="center" vertical="center"/>
    </xf>
    <xf numFmtId="0" fontId="58" fillId="4" borderId="7" xfId="0" applyFont="1" applyFill="1" applyBorder="1" applyAlignment="1">
      <alignment horizontal="center" vertical="center"/>
    </xf>
    <xf numFmtId="0" fontId="58" fillId="4" borderId="8" xfId="0" applyFont="1" applyFill="1" applyBorder="1" applyAlignment="1">
      <alignment horizontal="center" vertical="center"/>
    </xf>
    <xf numFmtId="0" fontId="58" fillId="4" borderId="9" xfId="0" applyFont="1" applyFill="1" applyBorder="1" applyAlignment="1">
      <alignment horizontal="center" vertical="center"/>
    </xf>
    <xf numFmtId="0" fontId="58" fillId="4" borderId="51" xfId="0" applyFont="1" applyFill="1" applyBorder="1" applyAlignment="1">
      <alignment horizontal="center" vertical="justify"/>
    </xf>
    <xf numFmtId="0" fontId="58" fillId="4" borderId="13" xfId="0" applyFont="1" applyFill="1" applyBorder="1" applyAlignment="1">
      <alignment horizontal="center" vertical="justify"/>
    </xf>
    <xf numFmtId="0" fontId="59" fillId="0" borderId="1" xfId="0" applyFont="1" applyBorder="1" applyAlignment="1">
      <alignment horizontal="justify" vertical="center"/>
    </xf>
    <xf numFmtId="0" fontId="59" fillId="0" borderId="2" xfId="0" applyFont="1" applyBorder="1" applyAlignment="1">
      <alignment horizontal="justify" vertical="center"/>
    </xf>
    <xf numFmtId="0" fontId="59" fillId="0" borderId="3" xfId="0" applyFont="1" applyBorder="1" applyAlignment="1">
      <alignment horizontal="justify" vertical="center"/>
    </xf>
    <xf numFmtId="0" fontId="59" fillId="0" borderId="0" xfId="0" applyFont="1" applyBorder="1" applyAlignment="1">
      <alignment horizontal="left" vertical="center"/>
    </xf>
    <xf numFmtId="0" fontId="59" fillId="0" borderId="52" xfId="0" applyFont="1" applyBorder="1" applyAlignment="1">
      <alignment horizontal="left" vertical="center"/>
    </xf>
    <xf numFmtId="0" fontId="59" fillId="0" borderId="5" xfId="0" applyFont="1" applyBorder="1" applyAlignment="1">
      <alignment horizontal="left" vertical="center"/>
    </xf>
    <xf numFmtId="0" fontId="58" fillId="0" borderId="5" xfId="0" applyFont="1" applyBorder="1" applyAlignment="1">
      <alignment horizontal="left" vertical="center"/>
    </xf>
    <xf numFmtId="0" fontId="58" fillId="0" borderId="0" xfId="0" applyFont="1" applyBorder="1" applyAlignment="1">
      <alignment horizontal="left" vertical="center"/>
    </xf>
    <xf numFmtId="0" fontId="58" fillId="0" borderId="6" xfId="0" applyFont="1" applyBorder="1" applyAlignment="1">
      <alignment horizontal="left" vertical="center"/>
    </xf>
    <xf numFmtId="43" fontId="58" fillId="0" borderId="54" xfId="0" applyNumberFormat="1" applyFont="1" applyBorder="1" applyAlignment="1">
      <alignment horizontal="right" vertical="center"/>
    </xf>
    <xf numFmtId="0" fontId="59" fillId="0" borderId="0" xfId="0" applyFont="1" applyBorder="1" applyAlignment="1">
      <alignment vertical="center"/>
    </xf>
    <xf numFmtId="0" fontId="59" fillId="0" borderId="52" xfId="0" applyFont="1" applyBorder="1" applyAlignment="1">
      <alignment vertical="center"/>
    </xf>
    <xf numFmtId="43" fontId="59" fillId="0" borderId="54" xfId="0" applyNumberFormat="1" applyFont="1" applyBorder="1" applyAlignment="1" applyProtection="1">
      <alignment horizontal="right" vertical="center"/>
    </xf>
    <xf numFmtId="0" fontId="58" fillId="0" borderId="52" xfId="0" applyFont="1" applyBorder="1" applyAlignment="1">
      <alignment horizontal="left" vertical="center"/>
    </xf>
    <xf numFmtId="0" fontId="59" fillId="0" borderId="0" xfId="0" applyFont="1" applyAlignment="1">
      <alignment horizontal="left" vertical="center"/>
    </xf>
    <xf numFmtId="0" fontId="67" fillId="0" borderId="5" xfId="0" applyFont="1" applyBorder="1" applyAlignment="1">
      <alignment horizontal="left" vertical="center"/>
    </xf>
    <xf numFmtId="0" fontId="67" fillId="0" borderId="0" xfId="0" applyFont="1" applyBorder="1" applyAlignment="1">
      <alignment horizontal="left" vertical="center"/>
    </xf>
    <xf numFmtId="0" fontId="67" fillId="0" borderId="52" xfId="0" applyFont="1" applyBorder="1" applyAlignment="1">
      <alignment horizontal="left" vertical="center"/>
    </xf>
    <xf numFmtId="0" fontId="65" fillId="0" borderId="8" xfId="0" applyFont="1" applyBorder="1" applyAlignment="1">
      <alignment horizontal="left" vertical="center"/>
    </xf>
    <xf numFmtId="0" fontId="65" fillId="0" borderId="53" xfId="0" applyFont="1" applyBorder="1" applyAlignment="1">
      <alignment horizontal="left" vertical="center"/>
    </xf>
    <xf numFmtId="0" fontId="58" fillId="0" borderId="0" xfId="0" applyFont="1" applyAlignment="1">
      <alignment horizontal="left" vertical="center"/>
    </xf>
    <xf numFmtId="0" fontId="59" fillId="0" borderId="0" xfId="0" applyFont="1" applyBorder="1" applyAlignment="1">
      <alignment horizontal="left" vertical="justify"/>
    </xf>
    <xf numFmtId="0" fontId="59" fillId="0" borderId="52" xfId="0" applyFont="1" applyBorder="1" applyAlignment="1">
      <alignment horizontal="left" vertical="justify"/>
    </xf>
    <xf numFmtId="0" fontId="6" fillId="2" borderId="44" xfId="0" applyFont="1" applyFill="1" applyBorder="1" applyAlignment="1" applyProtection="1">
      <alignment horizontal="left" vertical="center"/>
      <protection locked="0"/>
    </xf>
    <xf numFmtId="0" fontId="6" fillId="2" borderId="22" xfId="0" applyFont="1" applyFill="1" applyBorder="1" applyAlignment="1" applyProtection="1">
      <alignment horizontal="left" vertical="center"/>
      <protection locked="0"/>
    </xf>
    <xf numFmtId="0" fontId="3" fillId="0" borderId="46" xfId="0"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wrapText="1"/>
    </xf>
    <xf numFmtId="0" fontId="11" fillId="0" borderId="8" xfId="0" applyFont="1" applyFill="1" applyBorder="1" applyAlignment="1" applyProtection="1">
      <alignment horizontal="left" vertical="center"/>
      <protection locked="0"/>
    </xf>
    <xf numFmtId="0" fontId="68" fillId="0" borderId="5" xfId="0" applyFont="1" applyBorder="1" applyAlignment="1">
      <alignment horizontal="left" vertical="center"/>
    </xf>
    <xf numFmtId="0" fontId="68" fillId="0" borderId="6" xfId="0" applyFont="1" applyBorder="1" applyAlignment="1">
      <alignment horizontal="left" vertical="center"/>
    </xf>
    <xf numFmtId="0" fontId="69" fillId="0" borderId="5" xfId="0" applyFont="1" applyBorder="1" applyAlignment="1">
      <alignment horizontal="left" vertical="center"/>
    </xf>
    <xf numFmtId="0" fontId="69" fillId="0" borderId="6" xfId="0" applyFont="1" applyBorder="1" applyAlignment="1">
      <alignment horizontal="left" vertical="center"/>
    </xf>
    <xf numFmtId="0" fontId="68" fillId="0" borderId="1" xfId="0" applyFont="1" applyFill="1" applyBorder="1" applyAlignment="1">
      <alignment horizontal="center" vertical="center"/>
    </xf>
    <xf numFmtId="0" fontId="68" fillId="0" borderId="3" xfId="0" applyFont="1" applyFill="1" applyBorder="1" applyAlignment="1">
      <alignment horizontal="center" vertical="center"/>
    </xf>
    <xf numFmtId="0" fontId="68" fillId="0" borderId="7" xfId="0" applyFont="1" applyFill="1" applyBorder="1" applyAlignment="1">
      <alignment horizontal="center" vertical="center"/>
    </xf>
    <xf numFmtId="0" fontId="68" fillId="0" borderId="9" xfId="0" applyFont="1" applyFill="1" applyBorder="1" applyAlignment="1">
      <alignment horizontal="center" vertical="center"/>
    </xf>
    <xf numFmtId="0" fontId="68" fillId="0" borderId="10" xfId="0" applyFont="1" applyFill="1" applyBorder="1" applyAlignment="1">
      <alignment horizontal="center" vertical="center"/>
    </xf>
    <xf numFmtId="0" fontId="68" fillId="0" borderId="11" xfId="0" applyFont="1" applyFill="1" applyBorder="1" applyAlignment="1">
      <alignment horizontal="center" vertical="center"/>
    </xf>
    <xf numFmtId="0" fontId="68" fillId="0" borderId="12" xfId="0" applyFont="1" applyFill="1" applyBorder="1" applyAlignment="1">
      <alignment horizontal="center" vertical="center"/>
    </xf>
    <xf numFmtId="0" fontId="68" fillId="0" borderId="51" xfId="0" applyFont="1" applyFill="1" applyBorder="1" applyAlignment="1">
      <alignment horizontal="center" vertical="center"/>
    </xf>
    <xf numFmtId="0" fontId="68" fillId="0" borderId="13" xfId="0" applyFont="1" applyFill="1" applyBorder="1" applyAlignment="1">
      <alignment horizontal="center" vertical="center"/>
    </xf>
    <xf numFmtId="0" fontId="69" fillId="0" borderId="97" xfId="0" applyFont="1" applyBorder="1" applyAlignment="1">
      <alignment horizontal="left" vertical="center"/>
    </xf>
    <xf numFmtId="0" fontId="69" fillId="0" borderId="98" xfId="0" applyFont="1" applyBorder="1" applyAlignment="1">
      <alignment horizontal="left" vertical="center"/>
    </xf>
    <xf numFmtId="0" fontId="68" fillId="0" borderId="8" xfId="0" applyFont="1" applyFill="1" applyBorder="1" applyAlignment="1">
      <alignment horizontal="center" vertical="center"/>
    </xf>
    <xf numFmtId="0" fontId="68" fillId="0" borderId="53"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55" xfId="0" applyFont="1" applyFill="1" applyBorder="1" applyAlignment="1">
      <alignment horizontal="center" vertical="center"/>
    </xf>
    <xf numFmtId="0" fontId="68" fillId="0" borderId="5" xfId="0" applyFont="1" applyFill="1" applyBorder="1" applyAlignment="1">
      <alignment horizontal="center" vertical="center"/>
    </xf>
    <xf numFmtId="0" fontId="68" fillId="0" borderId="0" xfId="0" applyFont="1" applyFill="1" applyBorder="1" applyAlignment="1">
      <alignment horizontal="center" vertical="center"/>
    </xf>
    <xf numFmtId="0" fontId="68" fillId="0" borderId="52" xfId="0" applyFont="1" applyFill="1" applyBorder="1" applyAlignment="1">
      <alignment horizontal="center" vertical="center"/>
    </xf>
    <xf numFmtId="0" fontId="45" fillId="0" borderId="0" xfId="0" applyFont="1" applyFill="1" applyAlignment="1" applyProtection="1">
      <alignment horizontal="left" vertical="justify" indent="3"/>
      <protection locked="0"/>
    </xf>
    <xf numFmtId="0" fontId="47" fillId="0" borderId="0" xfId="0" applyFont="1" applyFill="1" applyAlignment="1" applyProtection="1">
      <alignment horizontal="left"/>
      <protection locked="0"/>
    </xf>
    <xf numFmtId="0" fontId="45" fillId="0" borderId="0" xfId="0" applyFont="1" applyFill="1" applyAlignment="1" applyProtection="1">
      <alignment horizontal="left"/>
      <protection locked="0"/>
    </xf>
    <xf numFmtId="0" fontId="3" fillId="0" borderId="46" xfId="0" applyFont="1" applyFill="1" applyBorder="1" applyAlignment="1" applyProtection="1">
      <alignment horizontal="center" vertical="center" wrapText="1"/>
      <protection locked="0"/>
    </xf>
    <xf numFmtId="0" fontId="3" fillId="0" borderId="49" xfId="0" applyFont="1" applyFill="1" applyBorder="1" applyAlignment="1" applyProtection="1">
      <alignment horizontal="center" vertical="center" wrapText="1"/>
      <protection locked="0"/>
    </xf>
    <xf numFmtId="0" fontId="25" fillId="0" borderId="51"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6" fillId="0" borderId="46" xfId="0" applyFont="1" applyFill="1" applyBorder="1" applyAlignment="1" applyProtection="1">
      <alignment horizontal="center" vertical="center"/>
      <protection locked="0"/>
    </xf>
    <xf numFmtId="0" fontId="6" fillId="0" borderId="49"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11" fillId="0" borderId="46" xfId="0" applyFont="1" applyFill="1" applyBorder="1" applyAlignment="1" applyProtection="1">
      <alignment horizontal="center" vertical="center"/>
      <protection locked="0"/>
    </xf>
    <xf numFmtId="0" fontId="11" fillId="0" borderId="49" xfId="0" applyFont="1" applyFill="1" applyBorder="1" applyAlignment="1" applyProtection="1">
      <alignment horizontal="center" vertical="center"/>
      <protection locked="0"/>
    </xf>
    <xf numFmtId="4" fontId="11" fillId="0" borderId="8" xfId="0" applyNumberFormat="1" applyFont="1" applyFill="1" applyBorder="1" applyAlignment="1" applyProtection="1">
      <alignment horizontal="left" vertical="center"/>
      <protection locked="0"/>
    </xf>
    <xf numFmtId="0" fontId="25" fillId="0" borderId="1" xfId="0" applyFont="1" applyBorder="1" applyAlignment="1">
      <alignment horizontal="justify" vertical="center" wrapText="1"/>
    </xf>
    <xf numFmtId="0" fontId="25" fillId="0" borderId="55" xfId="0" applyFont="1" applyBorder="1" applyAlignment="1">
      <alignment horizontal="justify" vertical="center" wrapText="1"/>
    </xf>
    <xf numFmtId="0" fontId="25" fillId="0" borderId="5" xfId="0" applyFont="1" applyBorder="1" applyAlignment="1">
      <alignment horizontal="left" vertical="center" wrapText="1"/>
    </xf>
    <xf numFmtId="0" fontId="25" fillId="0" borderId="52" xfId="0" applyFont="1" applyBorder="1" applyAlignment="1">
      <alignment horizontal="left" vertical="center" wrapText="1"/>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1"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9"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52"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53"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6" fillId="0" borderId="0" xfId="0" applyFont="1" applyFill="1" applyBorder="1" applyAlignment="1">
      <alignment horizontal="center" vertical="center"/>
    </xf>
    <xf numFmtId="0" fontId="11" fillId="0" borderId="8" xfId="0" applyFont="1" applyFill="1" applyBorder="1" applyAlignment="1">
      <alignment horizontal="left" vertical="center"/>
    </xf>
    <xf numFmtId="0" fontId="5" fillId="0" borderId="8" xfId="0" applyFont="1" applyBorder="1" applyAlignment="1">
      <alignment horizontal="center" vertical="center"/>
    </xf>
    <xf numFmtId="0" fontId="58" fillId="6" borderId="51" xfId="0" applyFont="1" applyFill="1" applyBorder="1" applyAlignment="1">
      <alignment horizontal="center" vertical="center"/>
    </xf>
    <xf numFmtId="0" fontId="58" fillId="6" borderId="13" xfId="0" applyFont="1" applyFill="1" applyBorder="1" applyAlignment="1">
      <alignment horizontal="center" vertical="center"/>
    </xf>
    <xf numFmtId="0" fontId="58" fillId="6" borderId="10" xfId="0" applyFont="1" applyFill="1" applyBorder="1" applyAlignment="1">
      <alignment horizontal="center" vertical="center" wrapText="1"/>
    </xf>
    <xf numFmtId="0" fontId="58" fillId="6" borderId="11" xfId="0" applyFont="1" applyFill="1" applyBorder="1" applyAlignment="1">
      <alignment horizontal="center" vertical="center" wrapText="1"/>
    </xf>
    <xf numFmtId="0" fontId="58" fillId="6" borderId="12" xfId="0" applyFont="1" applyFill="1" applyBorder="1" applyAlignment="1">
      <alignment horizontal="center" vertical="center" wrapText="1"/>
    </xf>
    <xf numFmtId="0" fontId="58" fillId="6" borderId="51" xfId="0" applyFont="1" applyFill="1" applyBorder="1" applyAlignment="1">
      <alignment horizontal="center" vertical="center" wrapText="1"/>
    </xf>
    <xf numFmtId="0" fontId="58" fillId="6" borderId="13" xfId="0" applyFont="1" applyFill="1" applyBorder="1" applyAlignment="1">
      <alignment horizontal="center" vertical="center" wrapText="1"/>
    </xf>
    <xf numFmtId="0" fontId="10" fillId="0" borderId="0" xfId="0" applyFont="1" applyFill="1" applyBorder="1" applyAlignment="1" applyProtection="1">
      <alignment horizontal="center"/>
      <protection locked="0"/>
    </xf>
    <xf numFmtId="0" fontId="38" fillId="0" borderId="0" xfId="0" applyFont="1" applyFill="1" applyBorder="1" applyAlignment="1">
      <alignment horizontal="center" vertical="center" wrapText="1"/>
    </xf>
    <xf numFmtId="0" fontId="10" fillId="0" borderId="0" xfId="0" applyFont="1" applyAlignment="1" applyProtection="1">
      <alignment horizontal="center"/>
      <protection locked="0"/>
    </xf>
    <xf numFmtId="0" fontId="33" fillId="2" borderId="32" xfId="0" applyFont="1" applyFill="1" applyBorder="1" applyAlignment="1" applyProtection="1">
      <alignment horizontal="center" vertical="center"/>
      <protection locked="0"/>
    </xf>
    <xf numFmtId="0" fontId="33" fillId="2" borderId="33" xfId="0" applyFont="1" applyFill="1" applyBorder="1" applyAlignment="1" applyProtection="1">
      <alignment horizontal="center" vertical="center"/>
      <protection locked="0"/>
    </xf>
    <xf numFmtId="0" fontId="33" fillId="2" borderId="34" xfId="0" applyFont="1" applyFill="1" applyBorder="1" applyAlignment="1" applyProtection="1">
      <alignment horizontal="center" vertical="center"/>
      <protection locked="0"/>
    </xf>
    <xf numFmtId="0" fontId="32" fillId="0" borderId="0" xfId="0" applyFont="1" applyAlignment="1" applyProtection="1">
      <alignment horizontal="center"/>
      <protection locked="0"/>
    </xf>
    <xf numFmtId="0" fontId="33" fillId="0" borderId="1" xfId="0" applyFont="1" applyBorder="1" applyAlignment="1" applyProtection="1">
      <alignment horizontal="center" vertical="center"/>
      <protection locked="0"/>
    </xf>
    <xf numFmtId="0" fontId="33" fillId="0" borderId="27" xfId="0" applyFont="1" applyBorder="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3" fillId="2" borderId="29" xfId="0" applyFont="1" applyFill="1" applyBorder="1" applyAlignment="1" applyProtection="1">
      <alignment horizontal="center" vertical="center"/>
      <protection locked="0"/>
    </xf>
    <xf numFmtId="0" fontId="33" fillId="2" borderId="30" xfId="0" applyFont="1" applyFill="1" applyBorder="1" applyAlignment="1" applyProtection="1">
      <alignment horizontal="center" vertical="center"/>
      <protection locked="0"/>
    </xf>
    <xf numFmtId="0" fontId="33" fillId="2" borderId="31" xfId="0" applyFont="1" applyFill="1" applyBorder="1" applyAlignment="1" applyProtection="1">
      <alignment horizontal="center" vertical="center"/>
      <protection locked="0"/>
    </xf>
    <xf numFmtId="0" fontId="32" fillId="0" borderId="0" xfId="0" applyFont="1" applyAlignment="1" applyProtection="1">
      <alignment horizontal="left"/>
      <protection locked="0"/>
    </xf>
    <xf numFmtId="0" fontId="33" fillId="0" borderId="15" xfId="0"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23" xfId="0" applyFont="1" applyBorder="1" applyAlignment="1" applyProtection="1">
      <alignment horizontal="center" vertical="center"/>
      <protection locked="0"/>
    </xf>
    <xf numFmtId="0" fontId="33" fillId="0" borderId="18" xfId="0" applyFont="1" applyBorder="1" applyAlignment="1" applyProtection="1">
      <alignment horizontal="center" vertical="center"/>
      <protection locked="0"/>
    </xf>
    <xf numFmtId="0" fontId="10" fillId="0" borderId="0" xfId="0" applyFont="1" applyFill="1" applyBorder="1" applyAlignment="1" applyProtection="1">
      <alignment horizontal="center" vertical="center" wrapText="1"/>
      <protection locked="0"/>
    </xf>
    <xf numFmtId="0" fontId="6" fillId="4" borderId="0" xfId="0" applyFont="1" applyFill="1" applyBorder="1" applyAlignment="1" applyProtection="1">
      <alignment horizontal="center" vertical="center" wrapText="1"/>
    </xf>
    <xf numFmtId="0" fontId="10" fillId="4" borderId="0" xfId="0" applyFont="1" applyFill="1" applyBorder="1" applyAlignment="1" applyProtection="1">
      <alignment horizontal="center" vertical="center" wrapText="1"/>
    </xf>
    <xf numFmtId="0" fontId="11" fillId="0" borderId="8" xfId="0" applyFont="1" applyFill="1" applyBorder="1" applyAlignment="1" applyProtection="1">
      <alignment horizontal="left" vertical="center"/>
    </xf>
    <xf numFmtId="0" fontId="10" fillId="0" borderId="0" xfId="0" applyFont="1" applyFill="1" applyAlignment="1">
      <alignment horizontal="center" vertical="center" wrapText="1"/>
    </xf>
    <xf numFmtId="0" fontId="32" fillId="0" borderId="0" xfId="0" applyFont="1" applyFill="1" applyAlignment="1">
      <alignment horizontal="center"/>
    </xf>
    <xf numFmtId="0" fontId="33" fillId="0" borderId="1" xfId="0" applyFont="1" applyFill="1" applyBorder="1" applyAlignment="1">
      <alignment horizontal="center" vertical="center"/>
    </xf>
    <xf numFmtId="0" fontId="33" fillId="0" borderId="2" xfId="0" applyFont="1" applyFill="1" applyBorder="1" applyAlignment="1">
      <alignment horizontal="center" vertical="center"/>
    </xf>
    <xf numFmtId="0" fontId="83" fillId="8" borderId="19" xfId="0" applyFont="1" applyFill="1" applyBorder="1" applyAlignment="1">
      <alignment horizontal="left" vertical="center" wrapText="1"/>
    </xf>
    <xf numFmtId="0" fontId="84" fillId="0" borderId="19" xfId="0" applyFont="1" applyBorder="1" applyAlignment="1">
      <alignment horizontal="center" vertical="top"/>
    </xf>
    <xf numFmtId="49" fontId="79" fillId="0" borderId="19" xfId="1" applyNumberFormat="1" applyFont="1" applyFill="1" applyBorder="1" applyAlignment="1" applyProtection="1">
      <alignment horizontal="left" vertical="top"/>
    </xf>
    <xf numFmtId="0" fontId="79" fillId="0" borderId="19" xfId="0" applyFont="1" applyFill="1" applyBorder="1" applyAlignment="1">
      <alignment horizontal="left" vertical="top" wrapText="1"/>
    </xf>
    <xf numFmtId="0" fontId="79" fillId="0" borderId="19" xfId="0" applyFont="1" applyFill="1" applyBorder="1" applyAlignment="1">
      <alignment horizontal="left" vertical="top"/>
    </xf>
    <xf numFmtId="2" fontId="81" fillId="0" borderId="19" xfId="6" quotePrefix="1" applyNumberFormat="1" applyFont="1" applyFill="1" applyBorder="1" applyAlignment="1">
      <alignment horizontal="left" vertical="top" wrapText="1"/>
    </xf>
    <xf numFmtId="2" fontId="81" fillId="0" borderId="19" xfId="6" applyNumberFormat="1" applyFont="1" applyFill="1" applyBorder="1" applyAlignment="1">
      <alignment horizontal="left" vertical="top" wrapText="1"/>
    </xf>
    <xf numFmtId="49" fontId="78" fillId="2" borderId="19" xfId="13" applyNumberFormat="1" applyFont="1" applyFill="1" applyBorder="1" applyAlignment="1">
      <alignment horizontal="center" vertical="center" textRotation="90" wrapText="1"/>
    </xf>
    <xf numFmtId="0" fontId="78" fillId="2" borderId="19" xfId="13" applyFont="1" applyFill="1" applyBorder="1" applyAlignment="1">
      <alignment horizontal="center" vertical="center" wrapText="1"/>
    </xf>
    <xf numFmtId="49" fontId="78" fillId="2" borderId="19" xfId="13" applyNumberFormat="1" applyFont="1" applyFill="1" applyBorder="1" applyAlignment="1">
      <alignment horizontal="center" vertical="center" wrapText="1"/>
    </xf>
    <xf numFmtId="2" fontId="90" fillId="2" borderId="70" xfId="0" applyNumberFormat="1" applyFont="1" applyFill="1" applyBorder="1" applyAlignment="1">
      <alignment horizontal="center" vertical="center" wrapText="1"/>
    </xf>
    <xf numFmtId="2" fontId="90" fillId="2" borderId="73" xfId="0" applyNumberFormat="1" applyFont="1" applyFill="1" applyBorder="1" applyAlignment="1">
      <alignment horizontal="center" vertical="center" wrapText="1"/>
    </xf>
    <xf numFmtId="0" fontId="89" fillId="2" borderId="71" xfId="0" applyFont="1" applyFill="1" applyBorder="1" applyAlignment="1">
      <alignment horizontal="center" vertical="center" wrapText="1"/>
    </xf>
    <xf numFmtId="0" fontId="89" fillId="2" borderId="74" xfId="0" applyFont="1" applyFill="1" applyBorder="1" applyAlignment="1">
      <alignment horizontal="center" vertical="center" wrapText="1"/>
    </xf>
    <xf numFmtId="0" fontId="88" fillId="9" borderId="66" xfId="0" applyFont="1" applyFill="1" applyBorder="1" applyAlignment="1">
      <alignment horizontal="center" vertical="center" wrapText="1"/>
    </xf>
    <xf numFmtId="0" fontId="88" fillId="9" borderId="0" xfId="0" applyFont="1" applyFill="1" applyBorder="1" applyAlignment="1">
      <alignment horizontal="center" vertical="center" wrapText="1"/>
    </xf>
    <xf numFmtId="0" fontId="89" fillId="2" borderId="70" xfId="0" applyFont="1" applyFill="1" applyBorder="1" applyAlignment="1">
      <alignment horizontal="center" vertical="center" wrapText="1"/>
    </xf>
    <xf numFmtId="0" fontId="89" fillId="2" borderId="73" xfId="0" applyFont="1" applyFill="1" applyBorder="1" applyAlignment="1">
      <alignment horizontal="center" vertical="center" wrapText="1"/>
    </xf>
    <xf numFmtId="0" fontId="88" fillId="9" borderId="76" xfId="0" applyFont="1" applyFill="1" applyBorder="1" applyAlignment="1">
      <alignment horizontal="center" vertical="center"/>
    </xf>
    <xf numFmtId="0" fontId="88" fillId="9" borderId="79" xfId="0" applyFont="1" applyFill="1" applyBorder="1" applyAlignment="1">
      <alignment horizontal="center" vertical="center"/>
    </xf>
    <xf numFmtId="0" fontId="88" fillId="9" borderId="82" xfId="0" applyFont="1" applyFill="1" applyBorder="1" applyAlignment="1">
      <alignment horizontal="center" vertical="center"/>
    </xf>
    <xf numFmtId="0" fontId="90" fillId="2" borderId="70" xfId="0" applyFont="1" applyFill="1" applyBorder="1" applyAlignment="1">
      <alignment horizontal="center" vertical="center" wrapText="1"/>
    </xf>
    <xf numFmtId="0" fontId="90" fillId="2" borderId="73" xfId="0" applyFont="1" applyFill="1" applyBorder="1" applyAlignment="1">
      <alignment horizontal="center" vertical="center" wrapText="1"/>
    </xf>
    <xf numFmtId="0" fontId="88" fillId="9" borderId="19" xfId="0" applyFont="1" applyFill="1" applyBorder="1" applyAlignment="1">
      <alignment horizontal="center" vertical="center" wrapText="1"/>
    </xf>
    <xf numFmtId="0" fontId="89" fillId="2" borderId="67" xfId="0" applyFont="1" applyFill="1" applyBorder="1" applyAlignment="1">
      <alignment horizontal="center" vertical="center" wrapText="1"/>
    </xf>
    <xf numFmtId="3" fontId="90" fillId="2" borderId="71" xfId="0" applyNumberFormat="1" applyFont="1" applyFill="1" applyBorder="1" applyAlignment="1">
      <alignment horizontal="center" vertical="center" wrapText="1"/>
    </xf>
    <xf numFmtId="3" fontId="90" fillId="2" borderId="74" xfId="0" applyNumberFormat="1" applyFont="1" applyFill="1" applyBorder="1" applyAlignment="1">
      <alignment horizontal="center" vertical="center" wrapText="1"/>
    </xf>
    <xf numFmtId="0" fontId="86" fillId="9" borderId="61" xfId="0" applyFont="1" applyFill="1" applyBorder="1" applyAlignment="1">
      <alignment horizontal="right" vertical="center" wrapText="1"/>
    </xf>
    <xf numFmtId="0" fontId="86" fillId="9" borderId="62" xfId="0" applyFont="1" applyFill="1" applyBorder="1" applyAlignment="1">
      <alignment horizontal="right" vertical="center" wrapText="1"/>
    </xf>
    <xf numFmtId="0" fontId="87" fillId="2" borderId="63" xfId="0" applyFont="1" applyFill="1" applyBorder="1" applyAlignment="1">
      <alignment vertical="center"/>
    </xf>
    <xf numFmtId="0" fontId="87" fillId="2" borderId="64" xfId="0" applyFont="1" applyFill="1" applyBorder="1" applyAlignment="1">
      <alignment vertical="center"/>
    </xf>
    <xf numFmtId="0" fontId="87" fillId="2" borderId="65" xfId="0" applyFont="1" applyFill="1" applyBorder="1" applyAlignment="1">
      <alignment vertical="center"/>
    </xf>
    <xf numFmtId="0" fontId="87" fillId="10" borderId="63" xfId="0" applyFont="1" applyFill="1" applyBorder="1" applyAlignment="1">
      <alignment vertical="center"/>
    </xf>
    <xf numFmtId="0" fontId="87" fillId="10" borderId="64" xfId="0" applyFont="1" applyFill="1" applyBorder="1" applyAlignment="1">
      <alignment vertical="center"/>
    </xf>
    <xf numFmtId="0" fontId="87" fillId="10" borderId="65" xfId="0" applyFont="1" applyFill="1" applyBorder="1" applyAlignment="1">
      <alignment vertical="center"/>
    </xf>
    <xf numFmtId="0" fontId="88" fillId="9" borderId="66" xfId="0" applyFont="1" applyFill="1" applyBorder="1" applyAlignment="1">
      <alignment horizontal="center"/>
    </xf>
    <xf numFmtId="0" fontId="88" fillId="9" borderId="0" xfId="0" applyFont="1" applyFill="1" applyBorder="1" applyAlignment="1">
      <alignment horizontal="center"/>
    </xf>
    <xf numFmtId="0" fontId="88" fillId="9" borderId="67" xfId="0" applyFont="1" applyFill="1" applyBorder="1" applyAlignment="1">
      <alignment horizontal="center"/>
    </xf>
    <xf numFmtId="0" fontId="88" fillId="9" borderId="67" xfId="0" applyFont="1" applyFill="1" applyBorder="1" applyAlignment="1">
      <alignment horizontal="center" vertical="center" wrapText="1"/>
    </xf>
    <xf numFmtId="0" fontId="88" fillId="9" borderId="67" xfId="0" applyFont="1" applyFill="1" applyBorder="1" applyAlignment="1">
      <alignment horizontal="center" vertical="center"/>
    </xf>
    <xf numFmtId="0" fontId="32" fillId="0" borderId="0" xfId="0" applyFont="1" applyAlignment="1" applyProtection="1">
      <alignment horizontal="center" vertical="center"/>
      <protection locked="0"/>
    </xf>
    <xf numFmtId="0" fontId="32" fillId="0" borderId="0" xfId="0" applyFont="1" applyFill="1" applyBorder="1" applyAlignment="1" applyProtection="1">
      <alignment horizontal="center" vertical="top"/>
    </xf>
    <xf numFmtId="0" fontId="35" fillId="0" borderId="0" xfId="0" applyFont="1" applyFill="1" applyBorder="1" applyAlignment="1" applyProtection="1">
      <alignment horizontal="center" vertical="top"/>
    </xf>
    <xf numFmtId="0" fontId="71" fillId="0" borderId="0" xfId="0" applyFont="1" applyAlignment="1" applyProtection="1">
      <alignment horizontal="justify" vertical="distributed" wrapText="1"/>
      <protection locked="0"/>
    </xf>
    <xf numFmtId="0" fontId="33" fillId="2" borderId="1" xfId="0" applyFont="1" applyFill="1" applyBorder="1" applyAlignment="1" applyProtection="1">
      <alignment horizontal="center" vertical="center"/>
      <protection locked="0"/>
    </xf>
    <xf numFmtId="0" fontId="33" fillId="2" borderId="27" xfId="0" applyFont="1" applyFill="1" applyBorder="1" applyAlignment="1" applyProtection="1">
      <alignment horizontal="center" vertical="center"/>
      <protection locked="0"/>
    </xf>
    <xf numFmtId="0" fontId="33" fillId="2" borderId="7" xfId="0" applyFont="1" applyFill="1" applyBorder="1" applyAlignment="1" applyProtection="1">
      <alignment horizontal="center" vertical="center"/>
      <protection locked="0"/>
    </xf>
    <xf numFmtId="0" fontId="33" fillId="2" borderId="28" xfId="0" applyFont="1" applyFill="1" applyBorder="1" applyAlignment="1" applyProtection="1">
      <alignment horizontal="center" vertical="center"/>
      <protection locked="0"/>
    </xf>
    <xf numFmtId="0" fontId="33" fillId="2" borderId="15" xfId="0" applyFont="1" applyFill="1" applyBorder="1" applyAlignment="1" applyProtection="1">
      <alignment horizontal="center" vertical="center" wrapText="1"/>
      <protection locked="0"/>
    </xf>
    <xf numFmtId="0" fontId="33" fillId="2" borderId="16" xfId="0" applyFont="1" applyFill="1" applyBorder="1" applyAlignment="1" applyProtection="1">
      <alignment horizontal="center" vertical="center" wrapText="1"/>
      <protection locked="0"/>
    </xf>
    <xf numFmtId="0" fontId="33" fillId="2" borderId="3" xfId="0" applyFont="1" applyFill="1" applyBorder="1" applyAlignment="1" applyProtection="1">
      <alignment horizontal="center" vertical="center"/>
      <protection locked="0"/>
    </xf>
    <xf numFmtId="0" fontId="33" fillId="2" borderId="9" xfId="0" applyFont="1" applyFill="1" applyBorder="1" applyAlignment="1" applyProtection="1">
      <alignment horizontal="center" vertical="center"/>
      <protection locked="0"/>
    </xf>
    <xf numFmtId="0" fontId="33" fillId="2" borderId="23" xfId="0" applyFont="1" applyFill="1" applyBorder="1" applyAlignment="1" applyProtection="1">
      <alignment horizontal="center" vertical="center"/>
      <protection locked="0"/>
    </xf>
    <xf numFmtId="0" fontId="33" fillId="2" borderId="18" xfId="0" applyFont="1" applyFill="1" applyBorder="1" applyAlignment="1" applyProtection="1">
      <alignment horizontal="center" vertical="center"/>
      <protection locked="0"/>
    </xf>
    <xf numFmtId="0" fontId="58" fillId="0" borderId="5" xfId="0" applyFont="1" applyBorder="1" applyAlignment="1">
      <alignment vertical="center"/>
    </xf>
    <xf numFmtId="0" fontId="58" fillId="0" borderId="7" xfId="0" applyFont="1" applyBorder="1" applyAlignment="1">
      <alignment vertical="center"/>
    </xf>
    <xf numFmtId="41" fontId="59" fillId="0" borderId="4" xfId="0" applyNumberFormat="1" applyFont="1" applyBorder="1" applyAlignment="1">
      <alignment horizontal="right" vertical="center"/>
    </xf>
    <xf numFmtId="0" fontId="59" fillId="0" borderId="5" xfId="0" applyFont="1" applyBorder="1" applyAlignment="1">
      <alignment vertical="center"/>
    </xf>
    <xf numFmtId="0" fontId="59" fillId="0" borderId="1" xfId="0" applyFont="1" applyBorder="1" applyAlignment="1">
      <alignment vertical="center"/>
    </xf>
    <xf numFmtId="0" fontId="59" fillId="0" borderId="3" xfId="0" applyFont="1" applyBorder="1" applyAlignment="1">
      <alignment vertical="center"/>
    </xf>
    <xf numFmtId="0" fontId="59" fillId="0" borderId="6" xfId="0" applyFont="1" applyBorder="1" applyAlignment="1">
      <alignment horizontal="left" vertical="center" indent="1"/>
    </xf>
    <xf numFmtId="0" fontId="58" fillId="6" borderId="1" xfId="0" applyFont="1" applyFill="1" applyBorder="1" applyAlignment="1">
      <alignment vertical="center"/>
    </xf>
    <xf numFmtId="0" fontId="58" fillId="6" borderId="3" xfId="0" applyFont="1" applyFill="1" applyBorder="1" applyAlignment="1">
      <alignment vertical="center"/>
    </xf>
    <xf numFmtId="0" fontId="58" fillId="6" borderId="7" xfId="0" applyFont="1" applyFill="1" applyBorder="1" applyAlignment="1">
      <alignment vertical="center"/>
    </xf>
    <xf numFmtId="0" fontId="58" fillId="6" borderId="9" xfId="0" applyFont="1" applyFill="1" applyBorder="1" applyAlignment="1">
      <alignment vertical="center"/>
    </xf>
    <xf numFmtId="0" fontId="58" fillId="6" borderId="51" xfId="0" applyFont="1" applyFill="1" applyBorder="1" applyAlignment="1">
      <alignment horizontal="center" vertical="justify"/>
    </xf>
    <xf numFmtId="0" fontId="58" fillId="6" borderId="13" xfId="0" applyFont="1" applyFill="1" applyBorder="1" applyAlignment="1">
      <alignment horizontal="center" vertical="justify"/>
    </xf>
    <xf numFmtId="0" fontId="58" fillId="0" borderId="6" xfId="0" applyFont="1" applyBorder="1" applyAlignment="1">
      <alignment vertical="center"/>
    </xf>
    <xf numFmtId="0" fontId="58" fillId="0" borderId="9" xfId="0" applyFont="1" applyBorder="1" applyAlignment="1">
      <alignment vertical="center"/>
    </xf>
    <xf numFmtId="41" fontId="58" fillId="0" borderId="4" xfId="0" applyNumberFormat="1" applyFont="1" applyBorder="1" applyAlignment="1">
      <alignment horizontal="right" vertical="center"/>
    </xf>
    <xf numFmtId="41" fontId="58" fillId="0" borderId="13" xfId="0" applyNumberFormat="1" applyFont="1" applyBorder="1" applyAlignment="1">
      <alignment horizontal="right" vertical="center"/>
    </xf>
    <xf numFmtId="0" fontId="58" fillId="0" borderId="5" xfId="0" applyFont="1" applyBorder="1" applyAlignment="1">
      <alignment vertical="center" wrapText="1"/>
    </xf>
    <xf numFmtId="0" fontId="57" fillId="4" borderId="0" xfId="0" applyFont="1" applyFill="1" applyBorder="1" applyAlignment="1">
      <alignment horizontal="center" vertical="center" wrapText="1"/>
    </xf>
    <xf numFmtId="0" fontId="59" fillId="0" borderId="5" xfId="0" applyFont="1" applyBorder="1" applyAlignment="1">
      <alignment vertical="center" wrapText="1"/>
    </xf>
    <xf numFmtId="0" fontId="59" fillId="0" borderId="11" xfId="0" applyFont="1" applyBorder="1" applyAlignment="1">
      <alignment vertical="center"/>
    </xf>
    <xf numFmtId="0" fontId="58" fillId="6" borderId="10" xfId="0" applyFont="1" applyFill="1" applyBorder="1" applyAlignment="1">
      <alignment vertical="center"/>
    </xf>
    <xf numFmtId="0" fontId="58" fillId="6" borderId="12" xfId="0" applyFont="1" applyFill="1" applyBorder="1" applyAlignment="1">
      <alignment vertical="center"/>
    </xf>
    <xf numFmtId="0" fontId="33" fillId="2" borderId="32" xfId="0" applyFont="1" applyFill="1" applyBorder="1" applyAlignment="1">
      <alignment horizontal="center" vertical="center"/>
    </xf>
    <xf numFmtId="0" fontId="33" fillId="0" borderId="33" xfId="0" applyFont="1" applyFill="1" applyBorder="1" applyAlignment="1">
      <alignment horizontal="center" vertical="center"/>
    </xf>
    <xf numFmtId="0" fontId="33" fillId="2" borderId="33" xfId="0" applyFont="1" applyFill="1" applyBorder="1" applyAlignment="1">
      <alignment horizontal="center" vertical="center"/>
    </xf>
    <xf numFmtId="0" fontId="33" fillId="2" borderId="34" xfId="0" applyFont="1" applyFill="1" applyBorder="1" applyAlignment="1">
      <alignment horizontal="center" vertical="center"/>
    </xf>
    <xf numFmtId="0" fontId="10" fillId="0" borderId="0" xfId="0" applyFont="1" applyAlignment="1">
      <alignment horizontal="center"/>
    </xf>
    <xf numFmtId="0" fontId="32" fillId="0" borderId="0" xfId="0" applyFont="1" applyAlignment="1">
      <alignment horizontal="center"/>
    </xf>
    <xf numFmtId="0" fontId="35" fillId="0" borderId="35" xfId="0" applyFont="1" applyBorder="1" applyAlignment="1">
      <alignment horizontal="center" vertical="center"/>
    </xf>
    <xf numFmtId="0" fontId="35" fillId="0" borderId="36" xfId="0" applyFont="1" applyBorder="1" applyAlignment="1">
      <alignment horizontal="center" vertical="center"/>
    </xf>
    <xf numFmtId="0" fontId="35" fillId="0" borderId="1" xfId="0" applyFont="1" applyBorder="1" applyAlignment="1">
      <alignment horizontal="center" vertical="center"/>
    </xf>
    <xf numFmtId="0" fontId="35" fillId="0" borderId="27" xfId="0" applyFont="1" applyBorder="1" applyAlignment="1">
      <alignment horizontal="center" vertical="center"/>
    </xf>
    <xf numFmtId="0" fontId="35" fillId="0" borderId="7" xfId="0" applyFont="1" applyBorder="1" applyAlignment="1">
      <alignment horizontal="center" vertical="center"/>
    </xf>
    <xf numFmtId="0" fontId="35" fillId="0" borderId="28" xfId="0" applyFont="1" applyBorder="1" applyAlignment="1">
      <alignment horizontal="center" vertical="center"/>
    </xf>
    <xf numFmtId="0" fontId="123" fillId="0" borderId="104" xfId="0" applyFont="1" applyBorder="1" applyAlignment="1">
      <alignment horizontal="left" vertical="center" wrapText="1"/>
    </xf>
    <xf numFmtId="0" fontId="79" fillId="0" borderId="19" xfId="0" applyFont="1" applyBorder="1" applyAlignment="1">
      <alignment horizontal="justify" vertical="center"/>
    </xf>
    <xf numFmtId="0" fontId="101" fillId="0" borderId="51" xfId="0" applyFont="1" applyBorder="1" applyAlignment="1">
      <alignment horizontal="center" vertical="center"/>
    </xf>
    <xf numFmtId="0" fontId="101" fillId="0" borderId="4" xfId="0" applyFont="1" applyBorder="1" applyAlignment="1">
      <alignment horizontal="center" vertical="center"/>
    </xf>
    <xf numFmtId="0" fontId="55" fillId="0" borderId="19" xfId="0" applyFont="1" applyBorder="1" applyAlignment="1">
      <alignment horizontal="center" vertical="center" wrapText="1"/>
    </xf>
    <xf numFmtId="0" fontId="6" fillId="0" borderId="19" xfId="0" applyFont="1" applyFill="1" applyBorder="1" applyAlignment="1">
      <alignment horizontal="center" vertical="center" wrapText="1"/>
    </xf>
    <xf numFmtId="0" fontId="32" fillId="0" borderId="0" xfId="0" applyFont="1" applyBorder="1" applyAlignment="1">
      <alignment horizontal="center"/>
    </xf>
    <xf numFmtId="0" fontId="32" fillId="2" borderId="60" xfId="0" applyFont="1" applyFill="1" applyBorder="1" applyAlignment="1">
      <alignment horizontal="center" wrapText="1"/>
    </xf>
    <xf numFmtId="0" fontId="32" fillId="2" borderId="33" xfId="0" applyFont="1" applyFill="1" applyBorder="1" applyAlignment="1">
      <alignment horizontal="center"/>
    </xf>
    <xf numFmtId="0" fontId="32" fillId="2" borderId="37" xfId="0" applyFont="1" applyFill="1" applyBorder="1" applyAlignment="1">
      <alignment horizontal="center"/>
    </xf>
    <xf numFmtId="0" fontId="99" fillId="16" borderId="29" xfId="0" applyFont="1" applyFill="1" applyBorder="1" applyAlignment="1">
      <alignment horizontal="center" vertical="center"/>
    </xf>
    <xf numFmtId="0" fontId="99" fillId="16" borderId="30" xfId="0" applyFont="1" applyFill="1" applyBorder="1" applyAlignment="1">
      <alignment horizontal="center" vertical="center"/>
    </xf>
    <xf numFmtId="0" fontId="99" fillId="16" borderId="36" xfId="0" applyFont="1" applyFill="1" applyBorder="1" applyAlignment="1">
      <alignment horizontal="center" vertical="center"/>
    </xf>
    <xf numFmtId="0" fontId="99" fillId="16" borderId="29" xfId="0" applyFont="1" applyFill="1" applyBorder="1" applyAlignment="1">
      <alignment horizontal="center" vertical="center" wrapText="1"/>
    </xf>
    <xf numFmtId="0" fontId="99" fillId="16" borderId="36" xfId="0" applyFont="1" applyFill="1" applyBorder="1" applyAlignment="1">
      <alignment horizontal="center" vertical="center" wrapText="1"/>
    </xf>
  </cellXfs>
  <cellStyles count="15">
    <cellStyle name="20% - Accent6" xfId="10"/>
    <cellStyle name="Euro" xfId="2"/>
    <cellStyle name="Euro 2" xfId="3"/>
    <cellStyle name="Euro 3" xfId="4"/>
    <cellStyle name="Hipervínculo" xfId="14" builtinId="8"/>
    <cellStyle name="Millares" xfId="12" builtinId="3"/>
    <cellStyle name="Millares 3" xfId="9"/>
    <cellStyle name="Moneda" xfId="8" builtinId="4"/>
    <cellStyle name="Normal" xfId="0" builtinId="0"/>
    <cellStyle name="Normal 2" xfId="1"/>
    <cellStyle name="Normal 3" xfId="7"/>
    <cellStyle name="Normal 3 2" xfId="13"/>
    <cellStyle name="Normal 4 8" xfId="11"/>
    <cellStyle name="Porcentaje" xfId="6" builtinId="5"/>
    <cellStyle name="Porcentual 2" xf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742950</xdr:colOff>
      <xdr:row>54</xdr:row>
      <xdr:rowOff>95250</xdr:rowOff>
    </xdr:from>
    <xdr:ext cx="3200400" cy="662517"/>
    <xdr:sp macro="" textlink="">
      <xdr:nvSpPr>
        <xdr:cNvPr id="8" name="CuadroTexto 5">
          <a:extLst>
            <a:ext uri="{FF2B5EF4-FFF2-40B4-BE49-F238E27FC236}">
              <a16:creationId xmlns:a16="http://schemas.microsoft.com/office/drawing/2014/main" id="{00000000-0008-0000-0100-000004000000}"/>
            </a:ext>
          </a:extLst>
        </xdr:cNvPr>
        <xdr:cNvSpPr txBox="1"/>
      </xdr:nvSpPr>
      <xdr:spPr>
        <a:xfrm>
          <a:off x="742950" y="1300162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oneCellAnchor>
    <xdr:from>
      <xdr:col>3</xdr:col>
      <xdr:colOff>1647825</xdr:colOff>
      <xdr:row>54</xdr:row>
      <xdr:rowOff>95250</xdr:rowOff>
    </xdr:from>
    <xdr:ext cx="3305175" cy="662517"/>
    <xdr:sp macro="" textlink="">
      <xdr:nvSpPr>
        <xdr:cNvPr id="9" name="CuadroTexto 5">
          <a:extLst>
            <a:ext uri="{FF2B5EF4-FFF2-40B4-BE49-F238E27FC236}">
              <a16:creationId xmlns:a16="http://schemas.microsoft.com/office/drawing/2014/main" id="{00000000-0008-0000-0100-000006000000}"/>
            </a:ext>
          </a:extLst>
        </xdr:cNvPr>
        <xdr:cNvSpPr txBox="1"/>
      </xdr:nvSpPr>
      <xdr:spPr>
        <a:xfrm>
          <a:off x="7172325" y="1300162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5</xdr:col>
      <xdr:colOff>695666</xdr:colOff>
      <xdr:row>22</xdr:row>
      <xdr:rowOff>142875</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5315291" y="623887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22</xdr:row>
      <xdr:rowOff>142875</xdr:rowOff>
    </xdr:from>
    <xdr:ext cx="3200400" cy="662517"/>
    <xdr:sp macro="" textlink="">
      <xdr:nvSpPr>
        <xdr:cNvPr id="7" name="CuadroTexto 5">
          <a:extLst>
            <a:ext uri="{FF2B5EF4-FFF2-40B4-BE49-F238E27FC236}">
              <a16:creationId xmlns:a16="http://schemas.microsoft.com/office/drawing/2014/main" id="{00000000-0008-0000-0100-000004000000}"/>
            </a:ext>
          </a:extLst>
        </xdr:cNvPr>
        <xdr:cNvSpPr txBox="1"/>
      </xdr:nvSpPr>
      <xdr:spPr>
        <a:xfrm>
          <a:off x="0" y="623887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3</xdr:row>
      <xdr:rowOff>142875</xdr:rowOff>
    </xdr:from>
    <xdr:ext cx="184731" cy="264560"/>
    <xdr:sp macro="" textlink="">
      <xdr:nvSpPr>
        <xdr:cNvPr id="2" name="1 CuadroTexto">
          <a:extLst>
            <a:ext uri="{FF2B5EF4-FFF2-40B4-BE49-F238E27FC236}">
              <a16:creationId xmlns:a16="http://schemas.microsoft.com/office/drawing/2014/main" id="{00000000-0008-0000-0B00-000002000000}"/>
            </a:ext>
          </a:extLst>
        </xdr:cNvPr>
        <xdr:cNvSpPr txBox="1"/>
      </xdr:nvSpPr>
      <xdr:spPr>
        <a:xfrm>
          <a:off x="762000" y="7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7</xdr:col>
      <xdr:colOff>0</xdr:colOff>
      <xdr:row>3</xdr:row>
      <xdr:rowOff>142875</xdr:rowOff>
    </xdr:from>
    <xdr:ext cx="184731" cy="264560"/>
    <xdr:sp macro="" textlink="">
      <xdr:nvSpPr>
        <xdr:cNvPr id="6" name="4 CuadroTexto">
          <a:extLst>
            <a:ext uri="{FF2B5EF4-FFF2-40B4-BE49-F238E27FC236}">
              <a16:creationId xmlns:a16="http://schemas.microsoft.com/office/drawing/2014/main" id="{00000000-0008-0000-0B00-000006000000}"/>
            </a:ext>
          </a:extLst>
        </xdr:cNvPr>
        <xdr:cNvSpPr txBox="1"/>
      </xdr:nvSpPr>
      <xdr:spPr>
        <a:xfrm>
          <a:off x="53911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552791</xdr:colOff>
      <xdr:row>44</xdr:row>
      <xdr:rowOff>0</xdr:rowOff>
    </xdr:from>
    <xdr:ext cx="3305175" cy="662517"/>
    <xdr:sp macro="" textlink="">
      <xdr:nvSpPr>
        <xdr:cNvPr id="11" name="CuadroTexto 5">
          <a:extLst>
            <a:ext uri="{FF2B5EF4-FFF2-40B4-BE49-F238E27FC236}">
              <a16:creationId xmlns:a16="http://schemas.microsoft.com/office/drawing/2014/main" id="{00000000-0008-0000-0100-000006000000}"/>
            </a:ext>
          </a:extLst>
        </xdr:cNvPr>
        <xdr:cNvSpPr txBox="1"/>
      </xdr:nvSpPr>
      <xdr:spPr>
        <a:xfrm>
          <a:off x="4066458" y="9038167"/>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44</xdr:row>
      <xdr:rowOff>0</xdr:rowOff>
    </xdr:from>
    <xdr:ext cx="3200400" cy="662517"/>
    <xdr:sp macro="" textlink="">
      <xdr:nvSpPr>
        <xdr:cNvPr id="10" name="CuadroTexto 5">
          <a:extLst>
            <a:ext uri="{FF2B5EF4-FFF2-40B4-BE49-F238E27FC236}">
              <a16:creationId xmlns:a16="http://schemas.microsoft.com/office/drawing/2014/main" id="{00000000-0008-0000-0100-000004000000}"/>
            </a:ext>
          </a:extLst>
        </xdr:cNvPr>
        <xdr:cNvSpPr txBox="1"/>
      </xdr:nvSpPr>
      <xdr:spPr>
        <a:xfrm>
          <a:off x="0" y="9038167"/>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xdr:row>
      <xdr:rowOff>142875</xdr:rowOff>
    </xdr:from>
    <xdr:ext cx="184731" cy="264560"/>
    <xdr:sp macro="" textlink="">
      <xdr:nvSpPr>
        <xdr:cNvPr id="2" name="1 CuadroTexto"/>
        <xdr:cNvSpPr txBox="1"/>
      </xdr:nvSpPr>
      <xdr:spPr>
        <a:xfrm>
          <a:off x="295275" y="7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8</xdr:col>
      <xdr:colOff>0</xdr:colOff>
      <xdr:row>3</xdr:row>
      <xdr:rowOff>142875</xdr:rowOff>
    </xdr:from>
    <xdr:ext cx="184731" cy="264560"/>
    <xdr:sp macro="" textlink="">
      <xdr:nvSpPr>
        <xdr:cNvPr id="4" name="4 CuadroTexto">
          <a:extLst>
            <a:ext uri="{FF2B5EF4-FFF2-40B4-BE49-F238E27FC236}">
              <a16:creationId xmlns:a16="http://schemas.microsoft.com/office/drawing/2014/main" id="{00000000-0008-0000-0C00-000006000000}"/>
            </a:ext>
          </a:extLst>
        </xdr:cNvPr>
        <xdr:cNvSpPr txBox="1"/>
      </xdr:nvSpPr>
      <xdr:spPr>
        <a:xfrm>
          <a:off x="6010275" y="7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86066</xdr:colOff>
      <xdr:row>383</xdr:row>
      <xdr:rowOff>0</xdr:rowOff>
    </xdr:from>
    <xdr:ext cx="3305175" cy="662517"/>
    <xdr:sp macro="" textlink="">
      <xdr:nvSpPr>
        <xdr:cNvPr id="9" name="CuadroTexto 5">
          <a:extLst>
            <a:ext uri="{FF2B5EF4-FFF2-40B4-BE49-F238E27FC236}">
              <a16:creationId xmlns:a16="http://schemas.microsoft.com/office/drawing/2014/main" id="{00000000-0008-0000-0100-000006000000}"/>
            </a:ext>
          </a:extLst>
        </xdr:cNvPr>
        <xdr:cNvSpPr txBox="1"/>
      </xdr:nvSpPr>
      <xdr:spPr>
        <a:xfrm>
          <a:off x="3200741" y="91821000"/>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57150</xdr:colOff>
      <xdr:row>383</xdr:row>
      <xdr:rowOff>0</xdr:rowOff>
    </xdr:from>
    <xdr:ext cx="3200400" cy="662517"/>
    <xdr:sp macro="" textlink="">
      <xdr:nvSpPr>
        <xdr:cNvPr id="10" name="CuadroTexto 5">
          <a:extLst>
            <a:ext uri="{FF2B5EF4-FFF2-40B4-BE49-F238E27FC236}">
              <a16:creationId xmlns:a16="http://schemas.microsoft.com/office/drawing/2014/main" id="{00000000-0008-0000-0100-000004000000}"/>
            </a:ext>
          </a:extLst>
        </xdr:cNvPr>
        <xdr:cNvSpPr txBox="1"/>
      </xdr:nvSpPr>
      <xdr:spPr>
        <a:xfrm>
          <a:off x="57150" y="91630500"/>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twoCellAnchor editAs="oneCell">
    <xdr:from>
      <xdr:col>0</xdr:col>
      <xdr:colOff>0</xdr:colOff>
      <xdr:row>51</xdr:row>
      <xdr:rowOff>0</xdr:rowOff>
    </xdr:from>
    <xdr:to>
      <xdr:col>7</xdr:col>
      <xdr:colOff>260350</xdr:colOff>
      <xdr:row>66</xdr:row>
      <xdr:rowOff>120650</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55300"/>
          <a:ext cx="6762750" cy="307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3</xdr:row>
      <xdr:rowOff>142875</xdr:rowOff>
    </xdr:from>
    <xdr:ext cx="184731" cy="264560"/>
    <xdr:sp macro="" textlink="">
      <xdr:nvSpPr>
        <xdr:cNvPr id="2" name="1 CuadroTexto">
          <a:extLst>
            <a:ext uri="{FF2B5EF4-FFF2-40B4-BE49-F238E27FC236}">
              <a16:creationId xmlns:a16="http://schemas.microsoft.com/office/drawing/2014/main" id="{00000000-0008-0000-0D00-000002000000}"/>
            </a:ext>
          </a:extLst>
        </xdr:cNvPr>
        <xdr:cNvSpPr txBox="1"/>
      </xdr:nvSpPr>
      <xdr:spPr>
        <a:xfrm>
          <a:off x="0"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3</xdr:row>
      <xdr:rowOff>142875</xdr:rowOff>
    </xdr:from>
    <xdr:ext cx="184731" cy="264560"/>
    <xdr:sp macro="" textlink="">
      <xdr:nvSpPr>
        <xdr:cNvPr id="3" name="2 CuadroTexto">
          <a:extLst>
            <a:ext uri="{FF2B5EF4-FFF2-40B4-BE49-F238E27FC236}">
              <a16:creationId xmlns:a16="http://schemas.microsoft.com/office/drawing/2014/main" id="{00000000-0008-0000-0D00-000003000000}"/>
            </a:ext>
          </a:extLst>
        </xdr:cNvPr>
        <xdr:cNvSpPr txBox="1"/>
      </xdr:nvSpPr>
      <xdr:spPr>
        <a:xfrm>
          <a:off x="0"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5" name="1 CuadroTexto">
          <a:extLst>
            <a:ext uri="{FF2B5EF4-FFF2-40B4-BE49-F238E27FC236}">
              <a16:creationId xmlns:a16="http://schemas.microsoft.com/office/drawing/2014/main" id="{00000000-0008-0000-0D00-000008000000}"/>
            </a:ext>
          </a:extLst>
        </xdr:cNvPr>
        <xdr:cNvSpPr txBox="1"/>
      </xdr:nvSpPr>
      <xdr:spPr>
        <a:xfrm>
          <a:off x="76200"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6" name="2 CuadroTexto">
          <a:extLst>
            <a:ext uri="{FF2B5EF4-FFF2-40B4-BE49-F238E27FC236}">
              <a16:creationId xmlns:a16="http://schemas.microsoft.com/office/drawing/2014/main" id="{00000000-0008-0000-0D00-000009000000}"/>
            </a:ext>
          </a:extLst>
        </xdr:cNvPr>
        <xdr:cNvSpPr txBox="1"/>
      </xdr:nvSpPr>
      <xdr:spPr>
        <a:xfrm>
          <a:off x="76200"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7</xdr:col>
      <xdr:colOff>0</xdr:colOff>
      <xdr:row>3</xdr:row>
      <xdr:rowOff>142875</xdr:rowOff>
    </xdr:from>
    <xdr:ext cx="184731" cy="264560"/>
    <xdr:sp macro="" textlink="">
      <xdr:nvSpPr>
        <xdr:cNvPr id="7" name="4 CuadroTexto">
          <a:extLst>
            <a:ext uri="{FF2B5EF4-FFF2-40B4-BE49-F238E27FC236}">
              <a16:creationId xmlns:a16="http://schemas.microsoft.com/office/drawing/2014/main" id="{00000000-0008-0000-0D00-00000A000000}"/>
            </a:ext>
          </a:extLst>
        </xdr:cNvPr>
        <xdr:cNvSpPr txBox="1"/>
      </xdr:nvSpPr>
      <xdr:spPr>
        <a:xfrm>
          <a:off x="6905625"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257516</xdr:colOff>
      <xdr:row>47</xdr:row>
      <xdr:rowOff>0</xdr:rowOff>
    </xdr:from>
    <xdr:ext cx="3305175" cy="662517"/>
    <xdr:sp macro="" textlink="">
      <xdr:nvSpPr>
        <xdr:cNvPr id="15" name="CuadroTexto 5">
          <a:extLst>
            <a:ext uri="{FF2B5EF4-FFF2-40B4-BE49-F238E27FC236}">
              <a16:creationId xmlns:a16="http://schemas.microsoft.com/office/drawing/2014/main" id="{00000000-0008-0000-0100-000006000000}"/>
            </a:ext>
          </a:extLst>
        </xdr:cNvPr>
        <xdr:cNvSpPr txBox="1"/>
      </xdr:nvSpPr>
      <xdr:spPr>
        <a:xfrm>
          <a:off x="4353266" y="13182600"/>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47</xdr:row>
      <xdr:rowOff>19050</xdr:rowOff>
    </xdr:from>
    <xdr:ext cx="3200400" cy="662517"/>
    <xdr:sp macro="" textlink="">
      <xdr:nvSpPr>
        <xdr:cNvPr id="12" name="CuadroTexto 5">
          <a:extLst>
            <a:ext uri="{FF2B5EF4-FFF2-40B4-BE49-F238E27FC236}">
              <a16:creationId xmlns:a16="http://schemas.microsoft.com/office/drawing/2014/main" id="{00000000-0008-0000-0100-000004000000}"/>
            </a:ext>
          </a:extLst>
        </xdr:cNvPr>
        <xdr:cNvSpPr txBox="1"/>
      </xdr:nvSpPr>
      <xdr:spPr>
        <a:xfrm>
          <a:off x="76200" y="13201650"/>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4</xdr:col>
      <xdr:colOff>413576</xdr:colOff>
      <xdr:row>82</xdr:row>
      <xdr:rowOff>146538</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4633884" y="15635653"/>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2</xdr:col>
      <xdr:colOff>0</xdr:colOff>
      <xdr:row>82</xdr:row>
      <xdr:rowOff>146538</xdr:rowOff>
    </xdr:from>
    <xdr:ext cx="3200400" cy="662517"/>
    <xdr:sp macro="" textlink="">
      <xdr:nvSpPr>
        <xdr:cNvPr id="6" name="CuadroTexto 5">
          <a:extLst>
            <a:ext uri="{FF2B5EF4-FFF2-40B4-BE49-F238E27FC236}">
              <a16:creationId xmlns:a16="http://schemas.microsoft.com/office/drawing/2014/main" id="{00000000-0008-0000-0100-000004000000}"/>
            </a:ext>
          </a:extLst>
        </xdr:cNvPr>
        <xdr:cNvSpPr txBox="1"/>
      </xdr:nvSpPr>
      <xdr:spPr>
        <a:xfrm>
          <a:off x="183173" y="15635653"/>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3</xdr:row>
      <xdr:rowOff>142875</xdr:rowOff>
    </xdr:from>
    <xdr:ext cx="184731" cy="264560"/>
    <xdr:sp macro="" textlink="">
      <xdr:nvSpPr>
        <xdr:cNvPr id="2" name="1 CuadroTexto">
          <a:extLst>
            <a:ext uri="{FF2B5EF4-FFF2-40B4-BE49-F238E27FC236}">
              <a16:creationId xmlns:a16="http://schemas.microsoft.com/office/drawing/2014/main" id="{00000000-0008-0000-0F00-000002000000}"/>
            </a:ext>
          </a:extLst>
        </xdr:cNvPr>
        <xdr:cNvSpPr txBox="1"/>
      </xdr:nvSpPr>
      <xdr:spPr>
        <a:xfrm>
          <a:off x="95250" y="73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0</xdr:colOff>
      <xdr:row>3</xdr:row>
      <xdr:rowOff>142875</xdr:rowOff>
    </xdr:from>
    <xdr:ext cx="184731" cy="264560"/>
    <xdr:sp macro="" textlink="">
      <xdr:nvSpPr>
        <xdr:cNvPr id="6" name="4 CuadroTexto">
          <a:extLst>
            <a:ext uri="{FF2B5EF4-FFF2-40B4-BE49-F238E27FC236}">
              <a16:creationId xmlns:a16="http://schemas.microsoft.com/office/drawing/2014/main" id="{00000000-0008-0000-0F00-000006000000}"/>
            </a:ext>
          </a:extLst>
        </xdr:cNvPr>
        <xdr:cNvSpPr txBox="1"/>
      </xdr:nvSpPr>
      <xdr:spPr>
        <a:xfrm>
          <a:off x="69532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259084</xdr:colOff>
      <xdr:row>28</xdr:row>
      <xdr:rowOff>150819</xdr:rowOff>
    </xdr:from>
    <xdr:ext cx="3305175" cy="662517"/>
    <xdr:sp macro="" textlink="">
      <xdr:nvSpPr>
        <xdr:cNvPr id="12" name="CuadroTexto 5">
          <a:extLst>
            <a:ext uri="{FF2B5EF4-FFF2-40B4-BE49-F238E27FC236}">
              <a16:creationId xmlns:a16="http://schemas.microsoft.com/office/drawing/2014/main" id="{00000000-0008-0000-0100-000006000000}"/>
            </a:ext>
          </a:extLst>
        </xdr:cNvPr>
        <xdr:cNvSpPr txBox="1"/>
      </xdr:nvSpPr>
      <xdr:spPr>
        <a:xfrm>
          <a:off x="3267397" y="6715132"/>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28</xdr:row>
      <xdr:rowOff>142871</xdr:rowOff>
    </xdr:from>
    <xdr:ext cx="3200400" cy="662517"/>
    <xdr:sp macro="" textlink="">
      <xdr:nvSpPr>
        <xdr:cNvPr id="9" name="CuadroTexto 5">
          <a:extLst>
            <a:ext uri="{FF2B5EF4-FFF2-40B4-BE49-F238E27FC236}">
              <a16:creationId xmlns:a16="http://schemas.microsoft.com/office/drawing/2014/main" id="{00000000-0008-0000-0100-000004000000}"/>
            </a:ext>
          </a:extLst>
        </xdr:cNvPr>
        <xdr:cNvSpPr txBox="1"/>
      </xdr:nvSpPr>
      <xdr:spPr>
        <a:xfrm>
          <a:off x="87313" y="6707184"/>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4</xdr:row>
      <xdr:rowOff>142875</xdr:rowOff>
    </xdr:from>
    <xdr:ext cx="184731" cy="264560"/>
    <xdr:sp macro="" textlink="">
      <xdr:nvSpPr>
        <xdr:cNvPr id="22" name="21 CuadroTexto">
          <a:extLst>
            <a:ext uri="{FF2B5EF4-FFF2-40B4-BE49-F238E27FC236}">
              <a16:creationId xmlns:a16="http://schemas.microsoft.com/office/drawing/2014/main" id="{00000000-0008-0000-1000-000002000000}"/>
            </a:ext>
          </a:extLst>
        </xdr:cNvPr>
        <xdr:cNvSpPr txBox="1"/>
      </xdr:nvSpPr>
      <xdr:spPr>
        <a:xfrm>
          <a:off x="0" y="95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47383</xdr:colOff>
      <xdr:row>83</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5315291" y="16688189"/>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82</xdr:row>
      <xdr:rowOff>155512</xdr:rowOff>
    </xdr:from>
    <xdr:ext cx="3200400" cy="662517"/>
    <xdr:sp macro="" textlink="">
      <xdr:nvSpPr>
        <xdr:cNvPr id="7" name="CuadroTexto 5">
          <a:extLst>
            <a:ext uri="{FF2B5EF4-FFF2-40B4-BE49-F238E27FC236}">
              <a16:creationId xmlns:a16="http://schemas.microsoft.com/office/drawing/2014/main" id="{00000000-0008-0000-0100-000004000000}"/>
            </a:ext>
          </a:extLst>
        </xdr:cNvPr>
        <xdr:cNvSpPr txBox="1"/>
      </xdr:nvSpPr>
      <xdr:spPr>
        <a:xfrm>
          <a:off x="0" y="16649313"/>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3</xdr:col>
      <xdr:colOff>404766</xdr:colOff>
      <xdr:row>161</xdr:row>
      <xdr:rowOff>12872</xdr:rowOff>
    </xdr:from>
    <xdr:ext cx="3305175" cy="662517"/>
    <xdr:sp macro="" textlink="">
      <xdr:nvSpPr>
        <xdr:cNvPr id="9" name="CuadroTexto 5">
          <a:extLst>
            <a:ext uri="{FF2B5EF4-FFF2-40B4-BE49-F238E27FC236}">
              <a16:creationId xmlns:a16="http://schemas.microsoft.com/office/drawing/2014/main" id="{00000000-0008-0000-0100-000006000000}"/>
            </a:ext>
          </a:extLst>
        </xdr:cNvPr>
        <xdr:cNvSpPr txBox="1"/>
      </xdr:nvSpPr>
      <xdr:spPr>
        <a:xfrm>
          <a:off x="4768246" y="31400321"/>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19308</xdr:colOff>
      <xdr:row>161</xdr:row>
      <xdr:rowOff>12872</xdr:rowOff>
    </xdr:from>
    <xdr:ext cx="3200400" cy="662517"/>
    <xdr:sp macro="" textlink="">
      <xdr:nvSpPr>
        <xdr:cNvPr id="6" name="CuadroTexto 5">
          <a:extLst>
            <a:ext uri="{FF2B5EF4-FFF2-40B4-BE49-F238E27FC236}">
              <a16:creationId xmlns:a16="http://schemas.microsoft.com/office/drawing/2014/main" id="{00000000-0008-0000-0100-000004000000}"/>
            </a:ext>
          </a:extLst>
        </xdr:cNvPr>
        <xdr:cNvSpPr txBox="1"/>
      </xdr:nvSpPr>
      <xdr:spPr>
        <a:xfrm>
          <a:off x="19308" y="31400321"/>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4</xdr:row>
      <xdr:rowOff>142875</xdr:rowOff>
    </xdr:from>
    <xdr:ext cx="184731" cy="264560"/>
    <xdr:sp macro="" textlink="">
      <xdr:nvSpPr>
        <xdr:cNvPr id="2" name="1 CuadroTexto">
          <a:extLst>
            <a:ext uri="{FF2B5EF4-FFF2-40B4-BE49-F238E27FC236}">
              <a16:creationId xmlns:a16="http://schemas.microsoft.com/office/drawing/2014/main" id="{00000000-0008-0000-1200-000002000000}"/>
            </a:ext>
          </a:extLst>
        </xdr:cNvPr>
        <xdr:cNvSpPr txBox="1"/>
      </xdr:nvSpPr>
      <xdr:spPr>
        <a:xfrm>
          <a:off x="3048000" y="93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29</xdr:row>
      <xdr:rowOff>0</xdr:rowOff>
    </xdr:from>
    <xdr:ext cx="184731" cy="264560"/>
    <xdr:sp macro="" textlink="">
      <xdr:nvSpPr>
        <xdr:cNvPr id="5" name="4 CuadroTexto">
          <a:extLst>
            <a:ext uri="{FF2B5EF4-FFF2-40B4-BE49-F238E27FC236}">
              <a16:creationId xmlns:a16="http://schemas.microsoft.com/office/drawing/2014/main" id="{00000000-0008-0000-1200-000005000000}"/>
            </a:ext>
          </a:extLst>
        </xdr:cNvPr>
        <xdr:cNvSpPr txBox="1"/>
      </xdr:nvSpPr>
      <xdr:spPr>
        <a:xfrm>
          <a:off x="3048000" y="93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29</xdr:row>
      <xdr:rowOff>0</xdr:rowOff>
    </xdr:from>
    <xdr:ext cx="184731" cy="264560"/>
    <xdr:sp macro="" textlink="">
      <xdr:nvSpPr>
        <xdr:cNvPr id="8" name="7 CuadroTexto">
          <a:extLst>
            <a:ext uri="{FF2B5EF4-FFF2-40B4-BE49-F238E27FC236}">
              <a16:creationId xmlns:a16="http://schemas.microsoft.com/office/drawing/2014/main" id="{00000000-0008-0000-1200-000008000000}"/>
            </a:ext>
          </a:extLst>
        </xdr:cNvPr>
        <xdr:cNvSpPr txBox="1"/>
      </xdr:nvSpPr>
      <xdr:spPr>
        <a:xfrm>
          <a:off x="3048000" y="851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596830</xdr:colOff>
      <xdr:row>29</xdr:row>
      <xdr:rowOff>0</xdr:rowOff>
    </xdr:from>
    <xdr:ext cx="184731" cy="254557"/>
    <xdr:sp macro="" textlink="">
      <xdr:nvSpPr>
        <xdr:cNvPr id="10" name="9 CuadroTexto">
          <a:extLst>
            <a:ext uri="{FF2B5EF4-FFF2-40B4-BE49-F238E27FC236}">
              <a16:creationId xmlns:a16="http://schemas.microsoft.com/office/drawing/2014/main" id="{00000000-0008-0000-1200-00000A000000}"/>
            </a:ext>
          </a:extLst>
        </xdr:cNvPr>
        <xdr:cNvSpPr txBox="1"/>
      </xdr:nvSpPr>
      <xdr:spPr>
        <a:xfrm>
          <a:off x="10293280" y="6991350"/>
          <a:ext cx="184731" cy="25455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none" rtlCol="0" anchor="b">
          <a:spAutoFit/>
        </a:bodyPr>
        <a:lstStyle/>
        <a:p>
          <a:pPr algn="r"/>
          <a:endParaRPr lang="es-MX" sz="1100" b="1">
            <a:latin typeface="Arial" pitchFamily="34" charset="0"/>
            <a:cs typeface="Arial" pitchFamily="34" charset="0"/>
          </a:endParaRPr>
        </a:p>
      </xdr:txBody>
    </xdr:sp>
    <xdr:clientData/>
  </xdr:oneCellAnchor>
  <xdr:oneCellAnchor>
    <xdr:from>
      <xdr:col>0</xdr:col>
      <xdr:colOff>0</xdr:colOff>
      <xdr:row>4</xdr:row>
      <xdr:rowOff>142875</xdr:rowOff>
    </xdr:from>
    <xdr:ext cx="184731" cy="264560"/>
    <xdr:sp macro="" textlink="">
      <xdr:nvSpPr>
        <xdr:cNvPr id="9" name="1 CuadroTexto">
          <a:extLst>
            <a:ext uri="{FF2B5EF4-FFF2-40B4-BE49-F238E27FC236}">
              <a16:creationId xmlns:a16="http://schemas.microsoft.com/office/drawing/2014/main" id="{00000000-0008-0000-1200-000009000000}"/>
            </a:ext>
          </a:extLst>
        </xdr:cNvPr>
        <xdr:cNvSpPr txBox="1"/>
      </xdr:nvSpPr>
      <xdr:spPr>
        <a:xfrm>
          <a:off x="3028950"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1" name="1 CuadroTexto">
          <a:extLst>
            <a:ext uri="{FF2B5EF4-FFF2-40B4-BE49-F238E27FC236}">
              <a16:creationId xmlns:a16="http://schemas.microsoft.com/office/drawing/2014/main" id="{00000000-0008-0000-1200-00000B000000}"/>
            </a:ext>
          </a:extLst>
        </xdr:cNvPr>
        <xdr:cNvSpPr txBox="1"/>
      </xdr:nvSpPr>
      <xdr:spPr>
        <a:xfrm>
          <a:off x="3028950"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4</xdr:row>
      <xdr:rowOff>142875</xdr:rowOff>
    </xdr:from>
    <xdr:ext cx="184731" cy="264560"/>
    <xdr:sp macro="" textlink="">
      <xdr:nvSpPr>
        <xdr:cNvPr id="12" name="4 CuadroTexto">
          <a:extLst>
            <a:ext uri="{FF2B5EF4-FFF2-40B4-BE49-F238E27FC236}">
              <a16:creationId xmlns:a16="http://schemas.microsoft.com/office/drawing/2014/main" id="{00000000-0008-0000-1200-00000C000000}"/>
            </a:ext>
          </a:extLst>
        </xdr:cNvPr>
        <xdr:cNvSpPr txBox="1"/>
      </xdr:nvSpPr>
      <xdr:spPr>
        <a:xfrm>
          <a:off x="7267575"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9866</xdr:colOff>
      <xdr:row>18</xdr:row>
      <xdr:rowOff>0</xdr:rowOff>
    </xdr:from>
    <xdr:ext cx="3305175" cy="662517"/>
    <xdr:sp macro="" textlink="">
      <xdr:nvSpPr>
        <xdr:cNvPr id="16" name="CuadroTexto 5">
          <a:extLst>
            <a:ext uri="{FF2B5EF4-FFF2-40B4-BE49-F238E27FC236}">
              <a16:creationId xmlns:a16="http://schemas.microsoft.com/office/drawing/2014/main" id="{00000000-0008-0000-0100-000006000000}"/>
            </a:ext>
          </a:extLst>
        </xdr:cNvPr>
        <xdr:cNvSpPr txBox="1"/>
      </xdr:nvSpPr>
      <xdr:spPr>
        <a:xfrm>
          <a:off x="4172291" y="4324350"/>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18</xdr:row>
      <xdr:rowOff>0</xdr:rowOff>
    </xdr:from>
    <xdr:ext cx="3200400" cy="662517"/>
    <xdr:sp macro="" textlink="">
      <xdr:nvSpPr>
        <xdr:cNvPr id="15" name="CuadroTexto 5">
          <a:extLst>
            <a:ext uri="{FF2B5EF4-FFF2-40B4-BE49-F238E27FC236}">
              <a16:creationId xmlns:a16="http://schemas.microsoft.com/office/drawing/2014/main" id="{00000000-0008-0000-0100-000004000000}"/>
            </a:ext>
          </a:extLst>
        </xdr:cNvPr>
        <xdr:cNvSpPr txBox="1"/>
      </xdr:nvSpPr>
      <xdr:spPr>
        <a:xfrm>
          <a:off x="0" y="4324350"/>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4</xdr:row>
      <xdr:rowOff>142875</xdr:rowOff>
    </xdr:from>
    <xdr:ext cx="184731" cy="264560"/>
    <xdr:sp macro="" textlink="">
      <xdr:nvSpPr>
        <xdr:cNvPr id="2" name="1 CuadroTexto">
          <a:extLst>
            <a:ext uri="{FF2B5EF4-FFF2-40B4-BE49-F238E27FC236}">
              <a16:creationId xmlns:a16="http://schemas.microsoft.com/office/drawing/2014/main" id="{00000000-0008-0000-1300-000002000000}"/>
            </a:ext>
          </a:extLst>
        </xdr:cNvPr>
        <xdr:cNvSpPr txBox="1"/>
      </xdr:nvSpPr>
      <xdr:spPr>
        <a:xfrm>
          <a:off x="3171825" y="93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3" name="2 CuadroTexto">
          <a:extLst>
            <a:ext uri="{FF2B5EF4-FFF2-40B4-BE49-F238E27FC236}">
              <a16:creationId xmlns:a16="http://schemas.microsoft.com/office/drawing/2014/main" id="{00000000-0008-0000-1300-000003000000}"/>
            </a:ext>
          </a:extLst>
        </xdr:cNvPr>
        <xdr:cNvSpPr txBox="1"/>
      </xdr:nvSpPr>
      <xdr:spPr>
        <a:xfrm>
          <a:off x="3171825" y="90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171825" y="1717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5" name="1 CuadroTexto">
          <a:extLst>
            <a:ext uri="{FF2B5EF4-FFF2-40B4-BE49-F238E27FC236}">
              <a16:creationId xmlns:a16="http://schemas.microsoft.com/office/drawing/2014/main" id="{00000000-0008-0000-1300-00000F000000}"/>
            </a:ext>
          </a:extLst>
        </xdr:cNvPr>
        <xdr:cNvSpPr txBox="1"/>
      </xdr:nvSpPr>
      <xdr:spPr>
        <a:xfrm>
          <a:off x="2552700"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6" name="1 CuadroTexto">
          <a:extLst>
            <a:ext uri="{FF2B5EF4-FFF2-40B4-BE49-F238E27FC236}">
              <a16:creationId xmlns:a16="http://schemas.microsoft.com/office/drawing/2014/main" id="{00000000-0008-0000-1300-000010000000}"/>
            </a:ext>
          </a:extLst>
        </xdr:cNvPr>
        <xdr:cNvSpPr txBox="1"/>
      </xdr:nvSpPr>
      <xdr:spPr>
        <a:xfrm>
          <a:off x="2552700"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7" name="1 CuadroTexto">
          <a:extLst>
            <a:ext uri="{FF2B5EF4-FFF2-40B4-BE49-F238E27FC236}">
              <a16:creationId xmlns:a16="http://schemas.microsoft.com/office/drawing/2014/main" id="{00000000-0008-0000-1300-000011000000}"/>
            </a:ext>
          </a:extLst>
        </xdr:cNvPr>
        <xdr:cNvSpPr txBox="1"/>
      </xdr:nvSpPr>
      <xdr:spPr>
        <a:xfrm>
          <a:off x="2552700"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4</xdr:row>
      <xdr:rowOff>142875</xdr:rowOff>
    </xdr:from>
    <xdr:ext cx="184731" cy="264560"/>
    <xdr:sp macro="" textlink="">
      <xdr:nvSpPr>
        <xdr:cNvPr id="18" name="4 CuadroTexto">
          <a:extLst>
            <a:ext uri="{FF2B5EF4-FFF2-40B4-BE49-F238E27FC236}">
              <a16:creationId xmlns:a16="http://schemas.microsoft.com/office/drawing/2014/main" id="{00000000-0008-0000-1300-000012000000}"/>
            </a:ext>
          </a:extLst>
        </xdr:cNvPr>
        <xdr:cNvSpPr txBox="1"/>
      </xdr:nvSpPr>
      <xdr:spPr>
        <a:xfrm>
          <a:off x="7096125"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0" name="1 CuadroTexto">
          <a:extLst>
            <a:ext uri="{FF2B5EF4-FFF2-40B4-BE49-F238E27FC236}">
              <a16:creationId xmlns:a16="http://schemas.microsoft.com/office/drawing/2014/main" id="{00000000-0008-0000-1300-000014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1" name="1 CuadroTexto">
          <a:extLst>
            <a:ext uri="{FF2B5EF4-FFF2-40B4-BE49-F238E27FC236}">
              <a16:creationId xmlns:a16="http://schemas.microsoft.com/office/drawing/2014/main" id="{00000000-0008-0000-1300-000015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2" name="1 CuadroTexto">
          <a:extLst>
            <a:ext uri="{FF2B5EF4-FFF2-40B4-BE49-F238E27FC236}">
              <a16:creationId xmlns:a16="http://schemas.microsoft.com/office/drawing/2014/main" id="{00000000-0008-0000-1300-000016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3" name="1 CuadroTexto">
          <a:extLst>
            <a:ext uri="{FF2B5EF4-FFF2-40B4-BE49-F238E27FC236}">
              <a16:creationId xmlns:a16="http://schemas.microsoft.com/office/drawing/2014/main" id="{00000000-0008-0000-1300-000017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40</xdr:row>
      <xdr:rowOff>0</xdr:rowOff>
    </xdr:from>
    <xdr:ext cx="184731" cy="264560"/>
    <xdr:sp macro="" textlink="">
      <xdr:nvSpPr>
        <xdr:cNvPr id="24" name="4 CuadroTexto">
          <a:extLst>
            <a:ext uri="{FF2B5EF4-FFF2-40B4-BE49-F238E27FC236}">
              <a16:creationId xmlns:a16="http://schemas.microsoft.com/office/drawing/2014/main" id="{00000000-0008-0000-1300-000018000000}"/>
            </a:ext>
          </a:extLst>
        </xdr:cNvPr>
        <xdr:cNvSpPr txBox="1"/>
      </xdr:nvSpPr>
      <xdr:spPr>
        <a:xfrm>
          <a:off x="7727674"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5" name="1 CuadroTexto">
          <a:extLst>
            <a:ext uri="{FF2B5EF4-FFF2-40B4-BE49-F238E27FC236}">
              <a16:creationId xmlns:a16="http://schemas.microsoft.com/office/drawing/2014/main" id="{00000000-0008-0000-1300-000019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6" name="1 CuadroTexto">
          <a:extLst>
            <a:ext uri="{FF2B5EF4-FFF2-40B4-BE49-F238E27FC236}">
              <a16:creationId xmlns:a16="http://schemas.microsoft.com/office/drawing/2014/main" id="{00000000-0008-0000-1300-00001A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7" name="1 CuadroTexto">
          <a:extLst>
            <a:ext uri="{FF2B5EF4-FFF2-40B4-BE49-F238E27FC236}">
              <a16:creationId xmlns:a16="http://schemas.microsoft.com/office/drawing/2014/main" id="{00000000-0008-0000-1300-00001B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40</xdr:row>
      <xdr:rowOff>0</xdr:rowOff>
    </xdr:from>
    <xdr:ext cx="184731" cy="264560"/>
    <xdr:sp macro="" textlink="">
      <xdr:nvSpPr>
        <xdr:cNvPr id="28" name="1 CuadroTexto">
          <a:extLst>
            <a:ext uri="{FF2B5EF4-FFF2-40B4-BE49-F238E27FC236}">
              <a16:creationId xmlns:a16="http://schemas.microsoft.com/office/drawing/2014/main" id="{00000000-0008-0000-1300-00001C000000}"/>
            </a:ext>
          </a:extLst>
        </xdr:cNvPr>
        <xdr:cNvSpPr txBox="1"/>
      </xdr:nvSpPr>
      <xdr:spPr>
        <a:xfrm>
          <a:off x="3172239"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40</xdr:row>
      <xdr:rowOff>0</xdr:rowOff>
    </xdr:from>
    <xdr:ext cx="184731" cy="264560"/>
    <xdr:sp macro="" textlink="">
      <xdr:nvSpPr>
        <xdr:cNvPr id="29" name="4 CuadroTexto">
          <a:extLst>
            <a:ext uri="{FF2B5EF4-FFF2-40B4-BE49-F238E27FC236}">
              <a16:creationId xmlns:a16="http://schemas.microsoft.com/office/drawing/2014/main" id="{00000000-0008-0000-1300-00001D000000}"/>
            </a:ext>
          </a:extLst>
        </xdr:cNvPr>
        <xdr:cNvSpPr txBox="1"/>
      </xdr:nvSpPr>
      <xdr:spPr>
        <a:xfrm>
          <a:off x="7727674" y="9711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287746</xdr:colOff>
      <xdr:row>33</xdr:row>
      <xdr:rowOff>0</xdr:rowOff>
    </xdr:from>
    <xdr:ext cx="3305175" cy="662517"/>
    <xdr:sp macro="" textlink="">
      <xdr:nvSpPr>
        <xdr:cNvPr id="31" name="CuadroTexto 5">
          <a:extLst>
            <a:ext uri="{FF2B5EF4-FFF2-40B4-BE49-F238E27FC236}">
              <a16:creationId xmlns:a16="http://schemas.microsoft.com/office/drawing/2014/main" id="{00000000-0008-0000-0100-000006000000}"/>
            </a:ext>
          </a:extLst>
        </xdr:cNvPr>
        <xdr:cNvSpPr txBox="1"/>
      </xdr:nvSpPr>
      <xdr:spPr>
        <a:xfrm>
          <a:off x="4768637" y="8522804"/>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33132</xdr:colOff>
      <xdr:row>33</xdr:row>
      <xdr:rowOff>0</xdr:rowOff>
    </xdr:from>
    <xdr:ext cx="3200400" cy="662517"/>
    <xdr:sp macro="" textlink="">
      <xdr:nvSpPr>
        <xdr:cNvPr id="33" name="CuadroTexto 5">
          <a:extLst>
            <a:ext uri="{FF2B5EF4-FFF2-40B4-BE49-F238E27FC236}">
              <a16:creationId xmlns:a16="http://schemas.microsoft.com/office/drawing/2014/main" id="{00000000-0008-0000-0100-000004000000}"/>
            </a:ext>
          </a:extLst>
        </xdr:cNvPr>
        <xdr:cNvSpPr txBox="1"/>
      </xdr:nvSpPr>
      <xdr:spPr>
        <a:xfrm>
          <a:off x="33132" y="8522804"/>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586809</xdr:colOff>
      <xdr:row>73</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5315291" y="16303058"/>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72</xdr:row>
      <xdr:rowOff>221109</xdr:rowOff>
    </xdr:from>
    <xdr:ext cx="3200400" cy="662517"/>
    <xdr:sp macro="" textlink="">
      <xdr:nvSpPr>
        <xdr:cNvPr id="6" name="CuadroTexto 5">
          <a:extLst>
            <a:ext uri="{FF2B5EF4-FFF2-40B4-BE49-F238E27FC236}">
              <a16:creationId xmlns:a16="http://schemas.microsoft.com/office/drawing/2014/main" id="{00000000-0008-0000-0100-000004000000}"/>
            </a:ext>
          </a:extLst>
        </xdr:cNvPr>
        <xdr:cNvSpPr txBox="1"/>
      </xdr:nvSpPr>
      <xdr:spPr>
        <a:xfrm>
          <a:off x="0" y="16277538"/>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3</xdr:col>
      <xdr:colOff>295616</xdr:colOff>
      <xdr:row>35</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4143716" y="614362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35</xdr:row>
      <xdr:rowOff>0</xdr:rowOff>
    </xdr:from>
    <xdr:ext cx="3200400" cy="662517"/>
    <xdr:sp macro="" textlink="">
      <xdr:nvSpPr>
        <xdr:cNvPr id="7" name="CuadroTexto 5">
          <a:extLst>
            <a:ext uri="{FF2B5EF4-FFF2-40B4-BE49-F238E27FC236}">
              <a16:creationId xmlns:a16="http://schemas.microsoft.com/office/drawing/2014/main" id="{00000000-0008-0000-0100-000004000000}"/>
            </a:ext>
          </a:extLst>
        </xdr:cNvPr>
        <xdr:cNvSpPr txBox="1"/>
      </xdr:nvSpPr>
      <xdr:spPr>
        <a:xfrm>
          <a:off x="0" y="614362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1 CuadroTexto">
          <a:extLst>
            <a:ext uri="{FF2B5EF4-FFF2-40B4-BE49-F238E27FC236}">
              <a16:creationId xmlns:a16="http://schemas.microsoft.com/office/drawing/2014/main" id="{00000000-0008-0000-1500-000002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3" name="2 CuadroTexto">
          <a:extLst>
            <a:ext uri="{FF2B5EF4-FFF2-40B4-BE49-F238E27FC236}">
              <a16:creationId xmlns:a16="http://schemas.microsoft.com/office/drawing/2014/main" id="{00000000-0008-0000-1500-000003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20</xdr:row>
      <xdr:rowOff>0</xdr:rowOff>
    </xdr:from>
    <xdr:ext cx="184731" cy="264560"/>
    <xdr:sp macro="" textlink="">
      <xdr:nvSpPr>
        <xdr:cNvPr id="4" name="5 CuadroTexto">
          <a:extLst>
            <a:ext uri="{FF2B5EF4-FFF2-40B4-BE49-F238E27FC236}">
              <a16:creationId xmlns:a16="http://schemas.microsoft.com/office/drawing/2014/main" id="{00000000-0008-0000-1500-000004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6" name="1 CuadroTexto">
          <a:extLst>
            <a:ext uri="{FF2B5EF4-FFF2-40B4-BE49-F238E27FC236}">
              <a16:creationId xmlns:a16="http://schemas.microsoft.com/office/drawing/2014/main" id="{00000000-0008-0000-1500-000006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7" name="1 CuadroTexto">
          <a:extLst>
            <a:ext uri="{FF2B5EF4-FFF2-40B4-BE49-F238E27FC236}">
              <a16:creationId xmlns:a16="http://schemas.microsoft.com/office/drawing/2014/main" id="{00000000-0008-0000-1500-000007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8" name="1 CuadroTexto">
          <a:extLst>
            <a:ext uri="{FF2B5EF4-FFF2-40B4-BE49-F238E27FC236}">
              <a16:creationId xmlns:a16="http://schemas.microsoft.com/office/drawing/2014/main" id="{00000000-0008-0000-1500-000008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0</xdr:row>
      <xdr:rowOff>0</xdr:rowOff>
    </xdr:from>
    <xdr:ext cx="184731" cy="264560"/>
    <xdr:sp macro="" textlink="">
      <xdr:nvSpPr>
        <xdr:cNvPr id="9" name="4 CuadroTexto">
          <a:extLst>
            <a:ext uri="{FF2B5EF4-FFF2-40B4-BE49-F238E27FC236}">
              <a16:creationId xmlns:a16="http://schemas.microsoft.com/office/drawing/2014/main" id="{00000000-0008-0000-1500-000009000000}"/>
            </a:ext>
          </a:extLst>
        </xdr:cNvPr>
        <xdr:cNvSpPr txBox="1"/>
      </xdr:nvSpPr>
      <xdr:spPr>
        <a:xfrm>
          <a:off x="7743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1" name="1 CuadroTexto">
          <a:extLst>
            <a:ext uri="{FF2B5EF4-FFF2-40B4-BE49-F238E27FC236}">
              <a16:creationId xmlns:a16="http://schemas.microsoft.com/office/drawing/2014/main" id="{00000000-0008-0000-1500-00000B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2" name="1 CuadroTexto">
          <a:extLst>
            <a:ext uri="{FF2B5EF4-FFF2-40B4-BE49-F238E27FC236}">
              <a16:creationId xmlns:a16="http://schemas.microsoft.com/office/drawing/2014/main" id="{00000000-0008-0000-1500-00000C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3" name="1 CuadroTexto">
          <a:extLst>
            <a:ext uri="{FF2B5EF4-FFF2-40B4-BE49-F238E27FC236}">
              <a16:creationId xmlns:a16="http://schemas.microsoft.com/office/drawing/2014/main" id="{00000000-0008-0000-1500-00000D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4" name="1 CuadroTexto">
          <a:extLst>
            <a:ext uri="{FF2B5EF4-FFF2-40B4-BE49-F238E27FC236}">
              <a16:creationId xmlns:a16="http://schemas.microsoft.com/office/drawing/2014/main" id="{00000000-0008-0000-1500-00000E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5</xdr:col>
      <xdr:colOff>0</xdr:colOff>
      <xdr:row>4</xdr:row>
      <xdr:rowOff>142875</xdr:rowOff>
    </xdr:from>
    <xdr:ext cx="184731" cy="264560"/>
    <xdr:sp macro="" textlink="">
      <xdr:nvSpPr>
        <xdr:cNvPr id="15" name="4 CuadroTexto">
          <a:extLst>
            <a:ext uri="{FF2B5EF4-FFF2-40B4-BE49-F238E27FC236}">
              <a16:creationId xmlns:a16="http://schemas.microsoft.com/office/drawing/2014/main" id="{00000000-0008-0000-1500-00000F000000}"/>
            </a:ext>
          </a:extLst>
        </xdr:cNvPr>
        <xdr:cNvSpPr txBox="1"/>
      </xdr:nvSpPr>
      <xdr:spPr>
        <a:xfrm>
          <a:off x="7743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20</xdr:row>
      <xdr:rowOff>0</xdr:rowOff>
    </xdr:from>
    <xdr:ext cx="184731" cy="264560"/>
    <xdr:sp macro="" textlink="">
      <xdr:nvSpPr>
        <xdr:cNvPr id="16" name="1 CuadroTexto">
          <a:extLst>
            <a:ext uri="{FF2B5EF4-FFF2-40B4-BE49-F238E27FC236}">
              <a16:creationId xmlns:a16="http://schemas.microsoft.com/office/drawing/2014/main" id="{00000000-0008-0000-1500-000010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20</xdr:row>
      <xdr:rowOff>0</xdr:rowOff>
    </xdr:from>
    <xdr:ext cx="184731" cy="264560"/>
    <xdr:sp macro="" textlink="">
      <xdr:nvSpPr>
        <xdr:cNvPr id="17" name="1 CuadroTexto">
          <a:extLst>
            <a:ext uri="{FF2B5EF4-FFF2-40B4-BE49-F238E27FC236}">
              <a16:creationId xmlns:a16="http://schemas.microsoft.com/office/drawing/2014/main" id="{00000000-0008-0000-1500-000011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20</xdr:row>
      <xdr:rowOff>0</xdr:rowOff>
    </xdr:from>
    <xdr:ext cx="184731" cy="264560"/>
    <xdr:sp macro="" textlink="">
      <xdr:nvSpPr>
        <xdr:cNvPr id="18" name="1 CuadroTexto">
          <a:extLst>
            <a:ext uri="{FF2B5EF4-FFF2-40B4-BE49-F238E27FC236}">
              <a16:creationId xmlns:a16="http://schemas.microsoft.com/office/drawing/2014/main" id="{00000000-0008-0000-1500-000012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20</xdr:row>
      <xdr:rowOff>0</xdr:rowOff>
    </xdr:from>
    <xdr:ext cx="184731" cy="264560"/>
    <xdr:sp macro="" textlink="">
      <xdr:nvSpPr>
        <xdr:cNvPr id="19" name="1 CuadroTexto">
          <a:extLst>
            <a:ext uri="{FF2B5EF4-FFF2-40B4-BE49-F238E27FC236}">
              <a16:creationId xmlns:a16="http://schemas.microsoft.com/office/drawing/2014/main" id="{00000000-0008-0000-1500-000013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20</xdr:row>
      <xdr:rowOff>0</xdr:rowOff>
    </xdr:from>
    <xdr:ext cx="184731" cy="264560"/>
    <xdr:sp macro="" textlink="">
      <xdr:nvSpPr>
        <xdr:cNvPr id="20" name="4 CuadroTexto">
          <a:extLst>
            <a:ext uri="{FF2B5EF4-FFF2-40B4-BE49-F238E27FC236}">
              <a16:creationId xmlns:a16="http://schemas.microsoft.com/office/drawing/2014/main" id="{00000000-0008-0000-1500-000014000000}"/>
            </a:ext>
          </a:extLst>
        </xdr:cNvPr>
        <xdr:cNvSpPr txBox="1"/>
      </xdr:nvSpPr>
      <xdr:spPr>
        <a:xfrm>
          <a:off x="7743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152741</xdr:colOff>
      <xdr:row>16</xdr:row>
      <xdr:rowOff>114300</xdr:rowOff>
    </xdr:from>
    <xdr:ext cx="3305175" cy="662517"/>
    <xdr:sp macro="" textlink="">
      <xdr:nvSpPr>
        <xdr:cNvPr id="27" name="CuadroTexto 5">
          <a:extLst>
            <a:ext uri="{FF2B5EF4-FFF2-40B4-BE49-F238E27FC236}">
              <a16:creationId xmlns:a16="http://schemas.microsoft.com/office/drawing/2014/main" id="{00000000-0008-0000-0100-000006000000}"/>
            </a:ext>
          </a:extLst>
        </xdr:cNvPr>
        <xdr:cNvSpPr txBox="1"/>
      </xdr:nvSpPr>
      <xdr:spPr>
        <a:xfrm>
          <a:off x="4639016" y="530542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19050</xdr:colOff>
      <xdr:row>16</xdr:row>
      <xdr:rowOff>123825</xdr:rowOff>
    </xdr:from>
    <xdr:ext cx="3200400" cy="662517"/>
    <xdr:sp macro="" textlink="">
      <xdr:nvSpPr>
        <xdr:cNvPr id="25" name="CuadroTexto 5">
          <a:extLst>
            <a:ext uri="{FF2B5EF4-FFF2-40B4-BE49-F238E27FC236}">
              <a16:creationId xmlns:a16="http://schemas.microsoft.com/office/drawing/2014/main" id="{00000000-0008-0000-0100-000004000000}"/>
            </a:ext>
          </a:extLst>
        </xdr:cNvPr>
        <xdr:cNvSpPr txBox="1"/>
      </xdr:nvSpPr>
      <xdr:spPr>
        <a:xfrm>
          <a:off x="19050" y="5314950"/>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4" name="5 CuadroTexto">
          <a:extLst>
            <a:ext uri="{FF2B5EF4-FFF2-40B4-BE49-F238E27FC236}">
              <a16:creationId xmlns:a16="http://schemas.microsoft.com/office/drawing/2014/main" id="{00000000-0008-0000-1600-000004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6" name="1 CuadroTexto">
          <a:extLst>
            <a:ext uri="{FF2B5EF4-FFF2-40B4-BE49-F238E27FC236}">
              <a16:creationId xmlns:a16="http://schemas.microsoft.com/office/drawing/2014/main" id="{00000000-0008-0000-1600-000006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7" name="1 CuadroTexto">
          <a:extLst>
            <a:ext uri="{FF2B5EF4-FFF2-40B4-BE49-F238E27FC236}">
              <a16:creationId xmlns:a16="http://schemas.microsoft.com/office/drawing/2014/main" id="{00000000-0008-0000-1600-000007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8" name="1 CuadroTexto">
          <a:extLst>
            <a:ext uri="{FF2B5EF4-FFF2-40B4-BE49-F238E27FC236}">
              <a16:creationId xmlns:a16="http://schemas.microsoft.com/office/drawing/2014/main" id="{00000000-0008-0000-1600-000008000000}"/>
            </a:ext>
          </a:extLst>
        </xdr:cNvPr>
        <xdr:cNvSpPr txBox="1"/>
      </xdr:nvSpPr>
      <xdr:spPr>
        <a:xfrm>
          <a:off x="3171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0</xdr:row>
      <xdr:rowOff>0</xdr:rowOff>
    </xdr:from>
    <xdr:ext cx="184731" cy="264560"/>
    <xdr:sp macro="" textlink="">
      <xdr:nvSpPr>
        <xdr:cNvPr id="9" name="4 CuadroTexto">
          <a:extLst>
            <a:ext uri="{FF2B5EF4-FFF2-40B4-BE49-F238E27FC236}">
              <a16:creationId xmlns:a16="http://schemas.microsoft.com/office/drawing/2014/main" id="{00000000-0008-0000-1600-000009000000}"/>
            </a:ext>
          </a:extLst>
        </xdr:cNvPr>
        <xdr:cNvSpPr txBox="1"/>
      </xdr:nvSpPr>
      <xdr:spPr>
        <a:xfrm>
          <a:off x="7743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11" name="1 CuadroTexto">
          <a:extLst>
            <a:ext uri="{FF2B5EF4-FFF2-40B4-BE49-F238E27FC236}">
              <a16:creationId xmlns:a16="http://schemas.microsoft.com/office/drawing/2014/main" id="{00000000-0008-0000-1600-00000B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12" name="1 CuadroTexto">
          <a:extLst>
            <a:ext uri="{FF2B5EF4-FFF2-40B4-BE49-F238E27FC236}">
              <a16:creationId xmlns:a16="http://schemas.microsoft.com/office/drawing/2014/main" id="{00000000-0008-0000-1600-00000C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13" name="1 CuadroTexto">
          <a:extLst>
            <a:ext uri="{FF2B5EF4-FFF2-40B4-BE49-F238E27FC236}">
              <a16:creationId xmlns:a16="http://schemas.microsoft.com/office/drawing/2014/main" id="{00000000-0008-0000-1600-00000D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0</xdr:row>
      <xdr:rowOff>0</xdr:rowOff>
    </xdr:from>
    <xdr:ext cx="184731" cy="264560"/>
    <xdr:sp macro="" textlink="">
      <xdr:nvSpPr>
        <xdr:cNvPr id="14" name="1 CuadroTexto">
          <a:extLst>
            <a:ext uri="{FF2B5EF4-FFF2-40B4-BE49-F238E27FC236}">
              <a16:creationId xmlns:a16="http://schemas.microsoft.com/office/drawing/2014/main" id="{00000000-0008-0000-1600-00000E000000}"/>
            </a:ext>
          </a:extLst>
        </xdr:cNvPr>
        <xdr:cNvSpPr txBox="1"/>
      </xdr:nvSpPr>
      <xdr:spPr>
        <a:xfrm>
          <a:off x="3171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0</xdr:row>
      <xdr:rowOff>0</xdr:rowOff>
    </xdr:from>
    <xdr:ext cx="184731" cy="264560"/>
    <xdr:sp macro="" textlink="">
      <xdr:nvSpPr>
        <xdr:cNvPr id="15" name="4 CuadroTexto">
          <a:extLst>
            <a:ext uri="{FF2B5EF4-FFF2-40B4-BE49-F238E27FC236}">
              <a16:creationId xmlns:a16="http://schemas.microsoft.com/office/drawing/2014/main" id="{00000000-0008-0000-1600-00000F000000}"/>
            </a:ext>
          </a:extLst>
        </xdr:cNvPr>
        <xdr:cNvSpPr txBox="1"/>
      </xdr:nvSpPr>
      <xdr:spPr>
        <a:xfrm>
          <a:off x="7743825"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6" name="1 CuadroTexto">
          <a:extLst>
            <a:ext uri="{FF2B5EF4-FFF2-40B4-BE49-F238E27FC236}">
              <a16:creationId xmlns:a16="http://schemas.microsoft.com/office/drawing/2014/main" id="{00000000-0008-0000-1600-000010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7" name="1 CuadroTexto">
          <a:extLst>
            <a:ext uri="{FF2B5EF4-FFF2-40B4-BE49-F238E27FC236}">
              <a16:creationId xmlns:a16="http://schemas.microsoft.com/office/drawing/2014/main" id="{00000000-0008-0000-1600-000011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8" name="1 CuadroTexto">
          <a:extLst>
            <a:ext uri="{FF2B5EF4-FFF2-40B4-BE49-F238E27FC236}">
              <a16:creationId xmlns:a16="http://schemas.microsoft.com/office/drawing/2014/main" id="{00000000-0008-0000-1600-000012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0</xdr:colOff>
      <xdr:row>4</xdr:row>
      <xdr:rowOff>142875</xdr:rowOff>
    </xdr:from>
    <xdr:ext cx="184731" cy="264560"/>
    <xdr:sp macro="" textlink="">
      <xdr:nvSpPr>
        <xdr:cNvPr id="19" name="1 CuadroTexto">
          <a:extLst>
            <a:ext uri="{FF2B5EF4-FFF2-40B4-BE49-F238E27FC236}">
              <a16:creationId xmlns:a16="http://schemas.microsoft.com/office/drawing/2014/main" id="{00000000-0008-0000-1600-000013000000}"/>
            </a:ext>
          </a:extLst>
        </xdr:cNvPr>
        <xdr:cNvSpPr txBox="1"/>
      </xdr:nvSpPr>
      <xdr:spPr>
        <a:xfrm>
          <a:off x="3171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5</xdr:col>
      <xdr:colOff>0</xdr:colOff>
      <xdr:row>4</xdr:row>
      <xdr:rowOff>142875</xdr:rowOff>
    </xdr:from>
    <xdr:ext cx="184731" cy="264560"/>
    <xdr:sp macro="" textlink="">
      <xdr:nvSpPr>
        <xdr:cNvPr id="20" name="4 CuadroTexto">
          <a:extLst>
            <a:ext uri="{FF2B5EF4-FFF2-40B4-BE49-F238E27FC236}">
              <a16:creationId xmlns:a16="http://schemas.microsoft.com/office/drawing/2014/main" id="{00000000-0008-0000-1600-000014000000}"/>
            </a:ext>
          </a:extLst>
        </xdr:cNvPr>
        <xdr:cNvSpPr txBox="1"/>
      </xdr:nvSpPr>
      <xdr:spPr>
        <a:xfrm>
          <a:off x="7743825" y="1723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305141</xdr:colOff>
      <xdr:row>24</xdr:row>
      <xdr:rowOff>0</xdr:rowOff>
    </xdr:from>
    <xdr:ext cx="3305175" cy="662517"/>
    <xdr:sp macro="" textlink="">
      <xdr:nvSpPr>
        <xdr:cNvPr id="25" name="CuadroTexto 5">
          <a:extLst>
            <a:ext uri="{FF2B5EF4-FFF2-40B4-BE49-F238E27FC236}">
              <a16:creationId xmlns:a16="http://schemas.microsoft.com/office/drawing/2014/main" id="{00000000-0008-0000-0100-000006000000}"/>
            </a:ext>
          </a:extLst>
        </xdr:cNvPr>
        <xdr:cNvSpPr txBox="1"/>
      </xdr:nvSpPr>
      <xdr:spPr>
        <a:xfrm>
          <a:off x="4791416" y="561022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24</xdr:row>
      <xdr:rowOff>0</xdr:rowOff>
    </xdr:from>
    <xdr:ext cx="3200400" cy="662517"/>
    <xdr:sp macro="" textlink="">
      <xdr:nvSpPr>
        <xdr:cNvPr id="24" name="CuadroTexto 5">
          <a:extLst>
            <a:ext uri="{FF2B5EF4-FFF2-40B4-BE49-F238E27FC236}">
              <a16:creationId xmlns:a16="http://schemas.microsoft.com/office/drawing/2014/main" id="{00000000-0008-0000-0100-000004000000}"/>
            </a:ext>
          </a:extLst>
        </xdr:cNvPr>
        <xdr:cNvSpPr txBox="1"/>
      </xdr:nvSpPr>
      <xdr:spPr>
        <a:xfrm>
          <a:off x="0" y="561022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xdr:col>
      <xdr:colOff>733425</xdr:colOff>
      <xdr:row>4</xdr:row>
      <xdr:rowOff>142875</xdr:rowOff>
    </xdr:from>
    <xdr:ext cx="838200" cy="264560"/>
    <xdr:sp macro="" textlink="">
      <xdr:nvSpPr>
        <xdr:cNvPr id="12" name="5 CuadroTexto">
          <a:extLst>
            <a:ext uri="{FF2B5EF4-FFF2-40B4-BE49-F238E27FC236}">
              <a16:creationId xmlns:a16="http://schemas.microsoft.com/office/drawing/2014/main" id="{00000000-0008-0000-1700-000002000000}"/>
            </a:ext>
          </a:extLst>
        </xdr:cNvPr>
        <xdr:cNvSpPr txBox="1"/>
      </xdr:nvSpPr>
      <xdr:spPr>
        <a:xfrm>
          <a:off x="3181350" y="971550"/>
          <a:ext cx="838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es-MX" sz="1100"/>
            <a:t>(PESOS)</a:t>
          </a:r>
        </a:p>
      </xdr:txBody>
    </xdr:sp>
    <xdr:clientData/>
  </xdr:oneCellAnchor>
  <xdr:oneCellAnchor>
    <xdr:from>
      <xdr:col>1</xdr:col>
      <xdr:colOff>0</xdr:colOff>
      <xdr:row>4</xdr:row>
      <xdr:rowOff>142875</xdr:rowOff>
    </xdr:from>
    <xdr:ext cx="184731" cy="264560"/>
    <xdr:sp macro="" textlink="">
      <xdr:nvSpPr>
        <xdr:cNvPr id="13" name="1 CuadroTexto">
          <a:extLst>
            <a:ext uri="{FF2B5EF4-FFF2-40B4-BE49-F238E27FC236}">
              <a16:creationId xmlns:a16="http://schemas.microsoft.com/office/drawing/2014/main" id="{00000000-0008-0000-1700-000003000000}"/>
            </a:ext>
          </a:extLst>
        </xdr:cNvPr>
        <xdr:cNvSpPr txBox="1"/>
      </xdr:nvSpPr>
      <xdr:spPr>
        <a:xfrm>
          <a:off x="24479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xdr:row>
      <xdr:rowOff>142875</xdr:rowOff>
    </xdr:from>
    <xdr:ext cx="184731" cy="264560"/>
    <xdr:sp macro="" textlink="">
      <xdr:nvSpPr>
        <xdr:cNvPr id="14" name="1 CuadroTexto">
          <a:extLst>
            <a:ext uri="{FF2B5EF4-FFF2-40B4-BE49-F238E27FC236}">
              <a16:creationId xmlns:a16="http://schemas.microsoft.com/office/drawing/2014/main" id="{00000000-0008-0000-1700-000004000000}"/>
            </a:ext>
          </a:extLst>
        </xdr:cNvPr>
        <xdr:cNvSpPr txBox="1"/>
      </xdr:nvSpPr>
      <xdr:spPr>
        <a:xfrm>
          <a:off x="24479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xdr:row>
      <xdr:rowOff>142875</xdr:rowOff>
    </xdr:from>
    <xdr:ext cx="184731" cy="264560"/>
    <xdr:sp macro="" textlink="">
      <xdr:nvSpPr>
        <xdr:cNvPr id="15" name="1 CuadroTexto">
          <a:extLst>
            <a:ext uri="{FF2B5EF4-FFF2-40B4-BE49-F238E27FC236}">
              <a16:creationId xmlns:a16="http://schemas.microsoft.com/office/drawing/2014/main" id="{00000000-0008-0000-1700-000005000000}"/>
            </a:ext>
          </a:extLst>
        </xdr:cNvPr>
        <xdr:cNvSpPr txBox="1"/>
      </xdr:nvSpPr>
      <xdr:spPr>
        <a:xfrm>
          <a:off x="24479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xdr:row>
      <xdr:rowOff>142875</xdr:rowOff>
    </xdr:from>
    <xdr:ext cx="184731" cy="264560"/>
    <xdr:sp macro="" textlink="">
      <xdr:nvSpPr>
        <xdr:cNvPr id="16" name="1 CuadroTexto">
          <a:extLst>
            <a:ext uri="{FF2B5EF4-FFF2-40B4-BE49-F238E27FC236}">
              <a16:creationId xmlns:a16="http://schemas.microsoft.com/office/drawing/2014/main" id="{00000000-0008-0000-1700-000006000000}"/>
            </a:ext>
          </a:extLst>
        </xdr:cNvPr>
        <xdr:cNvSpPr txBox="1"/>
      </xdr:nvSpPr>
      <xdr:spPr>
        <a:xfrm>
          <a:off x="24479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5</xdr:col>
      <xdr:colOff>0</xdr:colOff>
      <xdr:row>4</xdr:row>
      <xdr:rowOff>142875</xdr:rowOff>
    </xdr:from>
    <xdr:ext cx="184731" cy="264560"/>
    <xdr:sp macro="" textlink="">
      <xdr:nvSpPr>
        <xdr:cNvPr id="17" name="4 CuadroTexto">
          <a:extLst>
            <a:ext uri="{FF2B5EF4-FFF2-40B4-BE49-F238E27FC236}">
              <a16:creationId xmlns:a16="http://schemas.microsoft.com/office/drawing/2014/main" id="{00000000-0008-0000-1700-000007000000}"/>
            </a:ext>
          </a:extLst>
        </xdr:cNvPr>
        <xdr:cNvSpPr txBox="1"/>
      </xdr:nvSpPr>
      <xdr:spPr>
        <a:xfrm>
          <a:off x="54578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637458</xdr:colOff>
      <xdr:row>47</xdr:row>
      <xdr:rowOff>0</xdr:rowOff>
    </xdr:from>
    <xdr:ext cx="3305175" cy="662517"/>
    <xdr:sp macro="" textlink="">
      <xdr:nvSpPr>
        <xdr:cNvPr id="20" name="CuadroTexto 5">
          <a:extLst>
            <a:ext uri="{FF2B5EF4-FFF2-40B4-BE49-F238E27FC236}">
              <a16:creationId xmlns:a16="http://schemas.microsoft.com/office/drawing/2014/main" id="{00000000-0008-0000-0100-000006000000}"/>
            </a:ext>
          </a:extLst>
        </xdr:cNvPr>
        <xdr:cNvSpPr txBox="1"/>
      </xdr:nvSpPr>
      <xdr:spPr>
        <a:xfrm>
          <a:off x="3770125" y="10234083"/>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47</xdr:row>
      <xdr:rowOff>0</xdr:rowOff>
    </xdr:from>
    <xdr:ext cx="3200400" cy="662517"/>
    <xdr:sp macro="" textlink="">
      <xdr:nvSpPr>
        <xdr:cNvPr id="22" name="CuadroTexto 5">
          <a:extLst>
            <a:ext uri="{FF2B5EF4-FFF2-40B4-BE49-F238E27FC236}">
              <a16:creationId xmlns:a16="http://schemas.microsoft.com/office/drawing/2014/main" id="{00000000-0008-0000-0100-000004000000}"/>
            </a:ext>
          </a:extLst>
        </xdr:cNvPr>
        <xdr:cNvSpPr txBox="1"/>
      </xdr:nvSpPr>
      <xdr:spPr>
        <a:xfrm>
          <a:off x="0" y="10234083"/>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3</xdr:col>
      <xdr:colOff>219416</xdr:colOff>
      <xdr:row>85</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5315291" y="1624012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228600</xdr:colOff>
      <xdr:row>85</xdr:row>
      <xdr:rowOff>0</xdr:rowOff>
    </xdr:from>
    <xdr:ext cx="3200400" cy="662517"/>
    <xdr:sp macro="" textlink="">
      <xdr:nvSpPr>
        <xdr:cNvPr id="6" name="CuadroTexto 5">
          <a:extLst>
            <a:ext uri="{FF2B5EF4-FFF2-40B4-BE49-F238E27FC236}">
              <a16:creationId xmlns:a16="http://schemas.microsoft.com/office/drawing/2014/main" id="{00000000-0008-0000-0100-000004000000}"/>
            </a:ext>
          </a:extLst>
        </xdr:cNvPr>
        <xdr:cNvSpPr txBox="1"/>
      </xdr:nvSpPr>
      <xdr:spPr>
        <a:xfrm>
          <a:off x="523875" y="1624012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4</xdr:row>
      <xdr:rowOff>142875</xdr:rowOff>
    </xdr:from>
    <xdr:ext cx="184731" cy="264560"/>
    <xdr:sp macro="" textlink="">
      <xdr:nvSpPr>
        <xdr:cNvPr id="2" name="1 CuadroTexto">
          <a:extLst>
            <a:ext uri="{FF2B5EF4-FFF2-40B4-BE49-F238E27FC236}">
              <a16:creationId xmlns:a16="http://schemas.microsoft.com/office/drawing/2014/main" id="{00000000-0008-0000-1900-000002000000}"/>
            </a:ext>
          </a:extLst>
        </xdr:cNvPr>
        <xdr:cNvSpPr txBox="1"/>
      </xdr:nvSpPr>
      <xdr:spPr>
        <a:xfrm>
          <a:off x="3343275"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0</xdr:colOff>
      <xdr:row>4</xdr:row>
      <xdr:rowOff>142875</xdr:rowOff>
    </xdr:from>
    <xdr:ext cx="184731" cy="264560"/>
    <xdr:sp macro="" textlink="">
      <xdr:nvSpPr>
        <xdr:cNvPr id="4" name="1 CuadroTexto">
          <a:extLst>
            <a:ext uri="{FF2B5EF4-FFF2-40B4-BE49-F238E27FC236}">
              <a16:creationId xmlns:a16="http://schemas.microsoft.com/office/drawing/2014/main" id="{00000000-0008-0000-1900-000004000000}"/>
            </a:ext>
          </a:extLst>
        </xdr:cNvPr>
        <xdr:cNvSpPr txBox="1"/>
      </xdr:nvSpPr>
      <xdr:spPr>
        <a:xfrm>
          <a:off x="3343275"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6</xdr:col>
      <xdr:colOff>0</xdr:colOff>
      <xdr:row>4</xdr:row>
      <xdr:rowOff>142875</xdr:rowOff>
    </xdr:from>
    <xdr:ext cx="184731" cy="264560"/>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6734175" y="9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663349</xdr:colOff>
      <xdr:row>115</xdr:row>
      <xdr:rowOff>34019</xdr:rowOff>
    </xdr:from>
    <xdr:ext cx="3305175" cy="662517"/>
    <xdr:sp macro="" textlink="">
      <xdr:nvSpPr>
        <xdr:cNvPr id="13" name="CuadroTexto 5">
          <a:extLst>
            <a:ext uri="{FF2B5EF4-FFF2-40B4-BE49-F238E27FC236}">
              <a16:creationId xmlns:a16="http://schemas.microsoft.com/office/drawing/2014/main" id="{00000000-0008-0000-0100-000006000000}"/>
            </a:ext>
          </a:extLst>
        </xdr:cNvPr>
        <xdr:cNvSpPr txBox="1"/>
      </xdr:nvSpPr>
      <xdr:spPr>
        <a:xfrm>
          <a:off x="5417345" y="3422196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399713</xdr:colOff>
      <xdr:row>115</xdr:row>
      <xdr:rowOff>34015</xdr:rowOff>
    </xdr:from>
    <xdr:ext cx="3200400" cy="662517"/>
    <xdr:sp macro="" textlink="">
      <xdr:nvSpPr>
        <xdr:cNvPr id="9" name="CuadroTexto 5">
          <a:extLst>
            <a:ext uri="{FF2B5EF4-FFF2-40B4-BE49-F238E27FC236}">
              <a16:creationId xmlns:a16="http://schemas.microsoft.com/office/drawing/2014/main" id="{00000000-0008-0000-0100-000004000000}"/>
            </a:ext>
          </a:extLst>
        </xdr:cNvPr>
        <xdr:cNvSpPr txBox="1"/>
      </xdr:nvSpPr>
      <xdr:spPr>
        <a:xfrm>
          <a:off x="399713" y="34221961"/>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573802</xdr:colOff>
      <xdr:row>34</xdr:row>
      <xdr:rowOff>84039</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3641412" y="7346852"/>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34</xdr:row>
      <xdr:rowOff>91043</xdr:rowOff>
    </xdr:from>
    <xdr:ext cx="3200400" cy="662517"/>
    <xdr:sp macro="" textlink="">
      <xdr:nvSpPr>
        <xdr:cNvPr id="6" name="CuadroTexto 5">
          <a:extLst>
            <a:ext uri="{FF2B5EF4-FFF2-40B4-BE49-F238E27FC236}">
              <a16:creationId xmlns:a16="http://schemas.microsoft.com/office/drawing/2014/main" id="{00000000-0008-0000-0100-000004000000}"/>
            </a:ext>
          </a:extLst>
        </xdr:cNvPr>
        <xdr:cNvSpPr txBox="1"/>
      </xdr:nvSpPr>
      <xdr:spPr>
        <a:xfrm>
          <a:off x="0" y="7353856"/>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3</xdr:row>
      <xdr:rowOff>142875</xdr:rowOff>
    </xdr:from>
    <xdr:ext cx="184731" cy="264560"/>
    <xdr:sp macro="" textlink="">
      <xdr:nvSpPr>
        <xdr:cNvPr id="2" name="1 CuadroTexto">
          <a:extLst>
            <a:ext uri="{FF2B5EF4-FFF2-40B4-BE49-F238E27FC236}">
              <a16:creationId xmlns:a16="http://schemas.microsoft.com/office/drawing/2014/main" id="{00000000-0008-0000-1B00-000002000000}"/>
            </a:ext>
          </a:extLst>
        </xdr:cNvPr>
        <xdr:cNvSpPr txBox="1"/>
      </xdr:nvSpPr>
      <xdr:spPr>
        <a:xfrm>
          <a:off x="95250" y="73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4</xdr:row>
      <xdr:rowOff>142875</xdr:rowOff>
    </xdr:from>
    <xdr:ext cx="184731" cy="264560"/>
    <xdr:sp macro="" textlink="">
      <xdr:nvSpPr>
        <xdr:cNvPr id="6" name="4 CuadroTexto">
          <a:extLst>
            <a:ext uri="{FF2B5EF4-FFF2-40B4-BE49-F238E27FC236}">
              <a16:creationId xmlns:a16="http://schemas.microsoft.com/office/drawing/2014/main" id="{00000000-0008-0000-1B00-000006000000}"/>
            </a:ext>
          </a:extLst>
        </xdr:cNvPr>
        <xdr:cNvSpPr txBox="1"/>
      </xdr:nvSpPr>
      <xdr:spPr>
        <a:xfrm>
          <a:off x="4733925"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3426892</xdr:colOff>
      <xdr:row>3</xdr:row>
      <xdr:rowOff>195723</xdr:rowOff>
    </xdr:from>
    <xdr:ext cx="647870" cy="239809"/>
    <xdr:sp macro="" textlink="">
      <xdr:nvSpPr>
        <xdr:cNvPr id="5" name="4 CuadroTexto">
          <a:extLst>
            <a:ext uri="{FF2B5EF4-FFF2-40B4-BE49-F238E27FC236}">
              <a16:creationId xmlns:a16="http://schemas.microsoft.com/office/drawing/2014/main" id="{00000000-0008-0000-1B00-000005000000}"/>
            </a:ext>
          </a:extLst>
        </xdr:cNvPr>
        <xdr:cNvSpPr txBox="1"/>
      </xdr:nvSpPr>
      <xdr:spPr>
        <a:xfrm>
          <a:off x="3426892" y="809556"/>
          <a:ext cx="647870" cy="23980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none" rtlCol="0" anchor="b">
          <a:spAutoFit/>
        </a:bodyPr>
        <a:lstStyle/>
        <a:p>
          <a:pPr algn="r"/>
          <a:r>
            <a:rPr lang="es-MX" sz="1000" b="1">
              <a:latin typeface="Arial" pitchFamily="34" charset="0"/>
              <a:cs typeface="Arial" pitchFamily="34" charset="0"/>
            </a:rPr>
            <a:t>(Pesos)</a:t>
          </a:r>
        </a:p>
      </xdr:txBody>
    </xdr:sp>
    <xdr:clientData/>
  </xdr:oneCellAnchor>
  <xdr:oneCellAnchor>
    <xdr:from>
      <xdr:col>1</xdr:col>
      <xdr:colOff>0</xdr:colOff>
      <xdr:row>3</xdr:row>
      <xdr:rowOff>142875</xdr:rowOff>
    </xdr:from>
    <xdr:ext cx="184731" cy="264560"/>
    <xdr:sp macro="" textlink="">
      <xdr:nvSpPr>
        <xdr:cNvPr id="7" name="4 CuadroTexto">
          <a:extLst>
            <a:ext uri="{FF2B5EF4-FFF2-40B4-BE49-F238E27FC236}">
              <a16:creationId xmlns:a16="http://schemas.microsoft.com/office/drawing/2014/main" id="{00000000-0008-0000-1B00-000007000000}"/>
            </a:ext>
          </a:extLst>
        </xdr:cNvPr>
        <xdr:cNvSpPr txBox="1"/>
      </xdr:nvSpPr>
      <xdr:spPr>
        <a:xfrm>
          <a:off x="4222750" y="9789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4215587</xdr:colOff>
      <xdr:row>43</xdr:row>
      <xdr:rowOff>0</xdr:rowOff>
    </xdr:from>
    <xdr:ext cx="3305175" cy="662517"/>
    <xdr:sp macro="" textlink="">
      <xdr:nvSpPr>
        <xdr:cNvPr id="14" name="CuadroTexto 5">
          <a:extLst>
            <a:ext uri="{FF2B5EF4-FFF2-40B4-BE49-F238E27FC236}">
              <a16:creationId xmlns:a16="http://schemas.microsoft.com/office/drawing/2014/main" id="{00000000-0008-0000-0100-000006000000}"/>
            </a:ext>
          </a:extLst>
        </xdr:cNvPr>
        <xdr:cNvSpPr txBox="1"/>
      </xdr:nvSpPr>
      <xdr:spPr>
        <a:xfrm>
          <a:off x="4215587" y="1033029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43</xdr:row>
      <xdr:rowOff>0</xdr:rowOff>
    </xdr:from>
    <xdr:ext cx="3200400" cy="662517"/>
    <xdr:sp macro="" textlink="">
      <xdr:nvSpPr>
        <xdr:cNvPr id="11" name="CuadroTexto 5">
          <a:extLst>
            <a:ext uri="{FF2B5EF4-FFF2-40B4-BE49-F238E27FC236}">
              <a16:creationId xmlns:a16="http://schemas.microsoft.com/office/drawing/2014/main" id="{00000000-0008-0000-0100-000004000000}"/>
            </a:ext>
          </a:extLst>
        </xdr:cNvPr>
        <xdr:cNvSpPr txBox="1"/>
      </xdr:nvSpPr>
      <xdr:spPr>
        <a:xfrm>
          <a:off x="0" y="1033029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3</xdr:col>
      <xdr:colOff>0</xdr:colOff>
      <xdr:row>3</xdr:row>
      <xdr:rowOff>142875</xdr:rowOff>
    </xdr:from>
    <xdr:ext cx="184731" cy="264560"/>
    <xdr:sp macro="" textlink="">
      <xdr:nvSpPr>
        <xdr:cNvPr id="5" name="4 CuadroTexto">
          <a:extLst>
            <a:ext uri="{FF2B5EF4-FFF2-40B4-BE49-F238E27FC236}">
              <a16:creationId xmlns:a16="http://schemas.microsoft.com/office/drawing/2014/main" id="{00000000-0008-0000-1C00-000005000000}"/>
            </a:ext>
          </a:extLst>
        </xdr:cNvPr>
        <xdr:cNvSpPr txBox="1"/>
      </xdr:nvSpPr>
      <xdr:spPr>
        <a:xfrm>
          <a:off x="774382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47966</xdr:colOff>
      <xdr:row>33</xdr:row>
      <xdr:rowOff>57150</xdr:rowOff>
    </xdr:from>
    <xdr:ext cx="3305175" cy="662517"/>
    <xdr:sp macro="" textlink="">
      <xdr:nvSpPr>
        <xdr:cNvPr id="9" name="CuadroTexto 5">
          <a:extLst>
            <a:ext uri="{FF2B5EF4-FFF2-40B4-BE49-F238E27FC236}">
              <a16:creationId xmlns:a16="http://schemas.microsoft.com/office/drawing/2014/main" id="{00000000-0008-0000-0100-000006000000}"/>
            </a:ext>
          </a:extLst>
        </xdr:cNvPr>
        <xdr:cNvSpPr txBox="1"/>
      </xdr:nvSpPr>
      <xdr:spPr>
        <a:xfrm>
          <a:off x="3115016" y="890587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66675</xdr:colOff>
      <xdr:row>33</xdr:row>
      <xdr:rowOff>57150</xdr:rowOff>
    </xdr:from>
    <xdr:ext cx="3200400" cy="662517"/>
    <xdr:sp macro="" textlink="">
      <xdr:nvSpPr>
        <xdr:cNvPr id="8" name="CuadroTexto 5">
          <a:extLst>
            <a:ext uri="{FF2B5EF4-FFF2-40B4-BE49-F238E27FC236}">
              <a16:creationId xmlns:a16="http://schemas.microsoft.com/office/drawing/2014/main" id="{00000000-0008-0000-0100-000004000000}"/>
            </a:ext>
          </a:extLst>
        </xdr:cNvPr>
        <xdr:cNvSpPr txBox="1"/>
      </xdr:nvSpPr>
      <xdr:spPr>
        <a:xfrm>
          <a:off x="66675" y="890587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3</xdr:col>
      <xdr:colOff>0</xdr:colOff>
      <xdr:row>3</xdr:row>
      <xdr:rowOff>142875</xdr:rowOff>
    </xdr:from>
    <xdr:ext cx="184731" cy="264560"/>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4791075"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245878</xdr:colOff>
      <xdr:row>34</xdr:row>
      <xdr:rowOff>63499</xdr:rowOff>
    </xdr:from>
    <xdr:ext cx="3305175" cy="662517"/>
    <xdr:sp macro="" textlink="">
      <xdr:nvSpPr>
        <xdr:cNvPr id="11" name="CuadroTexto 5">
          <a:extLst>
            <a:ext uri="{FF2B5EF4-FFF2-40B4-BE49-F238E27FC236}">
              <a16:creationId xmlns:a16="http://schemas.microsoft.com/office/drawing/2014/main" id="{00000000-0008-0000-0100-000006000000}"/>
            </a:ext>
          </a:extLst>
        </xdr:cNvPr>
        <xdr:cNvSpPr txBox="1"/>
      </xdr:nvSpPr>
      <xdr:spPr>
        <a:xfrm>
          <a:off x="3304461" y="7842249"/>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169335</xdr:colOff>
      <xdr:row>34</xdr:row>
      <xdr:rowOff>63498</xdr:rowOff>
    </xdr:from>
    <xdr:ext cx="3200400" cy="662517"/>
    <xdr:sp macro="" textlink="">
      <xdr:nvSpPr>
        <xdr:cNvPr id="8" name="CuadroTexto 5">
          <a:extLst>
            <a:ext uri="{FF2B5EF4-FFF2-40B4-BE49-F238E27FC236}">
              <a16:creationId xmlns:a16="http://schemas.microsoft.com/office/drawing/2014/main" id="{00000000-0008-0000-0100-000004000000}"/>
            </a:ext>
          </a:extLst>
        </xdr:cNvPr>
        <xdr:cNvSpPr txBox="1"/>
      </xdr:nvSpPr>
      <xdr:spPr>
        <a:xfrm>
          <a:off x="169335" y="7842248"/>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200025</xdr:colOff>
      <xdr:row>3</xdr:row>
      <xdr:rowOff>142875</xdr:rowOff>
    </xdr:from>
    <xdr:ext cx="184731" cy="264560"/>
    <xdr:sp macro="" textlink="">
      <xdr:nvSpPr>
        <xdr:cNvPr id="2" name="1 CuadroTexto">
          <a:extLst>
            <a:ext uri="{FF2B5EF4-FFF2-40B4-BE49-F238E27FC236}">
              <a16:creationId xmlns:a16="http://schemas.microsoft.com/office/drawing/2014/main" id="{00000000-0008-0000-0300-000002000000}"/>
            </a:ext>
          </a:extLst>
        </xdr:cNvPr>
        <xdr:cNvSpPr txBox="1"/>
      </xdr:nvSpPr>
      <xdr:spPr>
        <a:xfrm>
          <a:off x="7086600" y="73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200025</xdr:colOff>
      <xdr:row>3</xdr:row>
      <xdr:rowOff>142875</xdr:rowOff>
    </xdr:from>
    <xdr:ext cx="184731" cy="264560"/>
    <xdr:sp macro="" textlink="">
      <xdr:nvSpPr>
        <xdr:cNvPr id="5" name="1 CuadroTexto">
          <a:extLst>
            <a:ext uri="{FF2B5EF4-FFF2-40B4-BE49-F238E27FC236}">
              <a16:creationId xmlns:a16="http://schemas.microsoft.com/office/drawing/2014/main" id="{00000000-0008-0000-0300-000005000000}"/>
            </a:ext>
          </a:extLst>
        </xdr:cNvPr>
        <xdr:cNvSpPr txBox="1"/>
      </xdr:nvSpPr>
      <xdr:spPr>
        <a:xfrm>
          <a:off x="70866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200025</xdr:colOff>
      <xdr:row>3</xdr:row>
      <xdr:rowOff>142875</xdr:rowOff>
    </xdr:from>
    <xdr:ext cx="184731" cy="264560"/>
    <xdr:sp macro="" textlink="">
      <xdr:nvSpPr>
        <xdr:cNvPr id="7" name="1 CuadroTexto">
          <a:extLst>
            <a:ext uri="{FF2B5EF4-FFF2-40B4-BE49-F238E27FC236}">
              <a16:creationId xmlns:a16="http://schemas.microsoft.com/office/drawing/2014/main" id="{00000000-0008-0000-0300-000007000000}"/>
            </a:ext>
          </a:extLst>
        </xdr:cNvPr>
        <xdr:cNvSpPr txBox="1"/>
      </xdr:nvSpPr>
      <xdr:spPr>
        <a:xfrm>
          <a:off x="70866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5315291</xdr:colOff>
      <xdr:row>66</xdr:row>
      <xdr:rowOff>0</xdr:rowOff>
    </xdr:from>
    <xdr:ext cx="3305175" cy="662517"/>
    <xdr:sp macro="" textlink="">
      <xdr:nvSpPr>
        <xdr:cNvPr id="11" name="CuadroTexto 5">
          <a:extLst>
            <a:ext uri="{FF2B5EF4-FFF2-40B4-BE49-F238E27FC236}">
              <a16:creationId xmlns:a16="http://schemas.microsoft.com/office/drawing/2014/main" id="{00000000-0008-0000-0100-000006000000}"/>
            </a:ext>
          </a:extLst>
        </xdr:cNvPr>
        <xdr:cNvSpPr txBox="1"/>
      </xdr:nvSpPr>
      <xdr:spPr>
        <a:xfrm>
          <a:off x="5427859" y="1423554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66</xdr:row>
      <xdr:rowOff>8661</xdr:rowOff>
    </xdr:from>
    <xdr:ext cx="3200400" cy="662517"/>
    <xdr:sp macro="" textlink="">
      <xdr:nvSpPr>
        <xdr:cNvPr id="12" name="CuadroTexto 5">
          <a:extLst>
            <a:ext uri="{FF2B5EF4-FFF2-40B4-BE49-F238E27FC236}">
              <a16:creationId xmlns:a16="http://schemas.microsoft.com/office/drawing/2014/main" id="{00000000-0008-0000-0100-000004000000}"/>
            </a:ext>
          </a:extLst>
        </xdr:cNvPr>
        <xdr:cNvSpPr txBox="1"/>
      </xdr:nvSpPr>
      <xdr:spPr>
        <a:xfrm>
          <a:off x="112568" y="14244206"/>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1</xdr:col>
      <xdr:colOff>0</xdr:colOff>
      <xdr:row>3</xdr:row>
      <xdr:rowOff>142875</xdr:rowOff>
    </xdr:from>
    <xdr:ext cx="184731" cy="264560"/>
    <xdr:sp macro="" textlink="">
      <xdr:nvSpPr>
        <xdr:cNvPr id="2" name="7 CuadroTexto">
          <a:extLst>
            <a:ext uri="{FF2B5EF4-FFF2-40B4-BE49-F238E27FC236}">
              <a16:creationId xmlns:a16="http://schemas.microsoft.com/office/drawing/2014/main" id="{00000000-0008-0000-1E00-000002000000}"/>
            </a:ext>
          </a:extLst>
        </xdr:cNvPr>
        <xdr:cNvSpPr txBox="1"/>
      </xdr:nvSpPr>
      <xdr:spPr>
        <a:xfrm>
          <a:off x="3171825" y="2523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4" name="5 CuadroTexto">
          <a:extLst>
            <a:ext uri="{FF2B5EF4-FFF2-40B4-BE49-F238E27FC236}">
              <a16:creationId xmlns:a16="http://schemas.microsoft.com/office/drawing/2014/main" id="{00000000-0008-0000-1E00-000004000000}"/>
            </a:ext>
          </a:extLst>
        </xdr:cNvPr>
        <xdr:cNvSpPr txBox="1"/>
      </xdr:nvSpPr>
      <xdr:spPr>
        <a:xfrm>
          <a:off x="3171825" y="2523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5" name="1 CuadroTexto">
          <a:extLst>
            <a:ext uri="{FF2B5EF4-FFF2-40B4-BE49-F238E27FC236}">
              <a16:creationId xmlns:a16="http://schemas.microsoft.com/office/drawing/2014/main" id="{00000000-0008-0000-1E00-000005000000}"/>
            </a:ext>
          </a:extLst>
        </xdr:cNvPr>
        <xdr:cNvSpPr txBox="1"/>
      </xdr:nvSpPr>
      <xdr:spPr>
        <a:xfrm>
          <a:off x="3171825" y="2523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6" name="1 CuadroTexto">
          <a:extLst>
            <a:ext uri="{FF2B5EF4-FFF2-40B4-BE49-F238E27FC236}">
              <a16:creationId xmlns:a16="http://schemas.microsoft.com/office/drawing/2014/main" id="{00000000-0008-0000-1E00-000006000000}"/>
            </a:ext>
          </a:extLst>
        </xdr:cNvPr>
        <xdr:cNvSpPr txBox="1"/>
      </xdr:nvSpPr>
      <xdr:spPr>
        <a:xfrm>
          <a:off x="3171825" y="2523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7" name="1 CuadroTexto">
          <a:extLst>
            <a:ext uri="{FF2B5EF4-FFF2-40B4-BE49-F238E27FC236}">
              <a16:creationId xmlns:a16="http://schemas.microsoft.com/office/drawing/2014/main" id="{00000000-0008-0000-1E00-000007000000}"/>
            </a:ext>
          </a:extLst>
        </xdr:cNvPr>
        <xdr:cNvSpPr txBox="1"/>
      </xdr:nvSpPr>
      <xdr:spPr>
        <a:xfrm>
          <a:off x="3171825" y="2523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0</xdr:colOff>
      <xdr:row>3</xdr:row>
      <xdr:rowOff>142875</xdr:rowOff>
    </xdr:from>
    <xdr:ext cx="184731" cy="264560"/>
    <xdr:sp macro="" textlink="">
      <xdr:nvSpPr>
        <xdr:cNvPr id="8" name="1 CuadroTexto">
          <a:extLst>
            <a:ext uri="{FF2B5EF4-FFF2-40B4-BE49-F238E27FC236}">
              <a16:creationId xmlns:a16="http://schemas.microsoft.com/office/drawing/2014/main" id="{00000000-0008-0000-1E00-000008000000}"/>
            </a:ext>
          </a:extLst>
        </xdr:cNvPr>
        <xdr:cNvSpPr txBox="1"/>
      </xdr:nvSpPr>
      <xdr:spPr>
        <a:xfrm>
          <a:off x="3171825" y="2523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343241</xdr:colOff>
      <xdr:row>41</xdr:row>
      <xdr:rowOff>0</xdr:rowOff>
    </xdr:from>
    <xdr:ext cx="3305175" cy="662517"/>
    <xdr:sp macro="" textlink="">
      <xdr:nvSpPr>
        <xdr:cNvPr id="16" name="CuadroTexto 5">
          <a:extLst>
            <a:ext uri="{FF2B5EF4-FFF2-40B4-BE49-F238E27FC236}">
              <a16:creationId xmlns:a16="http://schemas.microsoft.com/office/drawing/2014/main" id="{00000000-0008-0000-0100-000006000000}"/>
            </a:ext>
          </a:extLst>
        </xdr:cNvPr>
        <xdr:cNvSpPr txBox="1"/>
      </xdr:nvSpPr>
      <xdr:spPr>
        <a:xfrm>
          <a:off x="4277066" y="8953500"/>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40</xdr:row>
      <xdr:rowOff>219075</xdr:rowOff>
    </xdr:from>
    <xdr:ext cx="3200400" cy="662517"/>
    <xdr:sp macro="" textlink="">
      <xdr:nvSpPr>
        <xdr:cNvPr id="13" name="CuadroTexto 5">
          <a:extLst>
            <a:ext uri="{FF2B5EF4-FFF2-40B4-BE49-F238E27FC236}">
              <a16:creationId xmlns:a16="http://schemas.microsoft.com/office/drawing/2014/main" id="{00000000-0008-0000-0100-000004000000}"/>
            </a:ext>
          </a:extLst>
        </xdr:cNvPr>
        <xdr:cNvSpPr txBox="1"/>
      </xdr:nvSpPr>
      <xdr:spPr>
        <a:xfrm>
          <a:off x="0" y="894397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2</xdr:col>
      <xdr:colOff>1071382</xdr:colOff>
      <xdr:row>39</xdr:row>
      <xdr:rowOff>179917</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3516132" y="8678334"/>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116417</xdr:colOff>
      <xdr:row>39</xdr:row>
      <xdr:rowOff>179917</xdr:rowOff>
    </xdr:from>
    <xdr:ext cx="3200400" cy="662517"/>
    <xdr:sp macro="" textlink="">
      <xdr:nvSpPr>
        <xdr:cNvPr id="7" name="CuadroTexto 5">
          <a:extLst>
            <a:ext uri="{FF2B5EF4-FFF2-40B4-BE49-F238E27FC236}">
              <a16:creationId xmlns:a16="http://schemas.microsoft.com/office/drawing/2014/main" id="{00000000-0008-0000-0100-000004000000}"/>
            </a:ext>
          </a:extLst>
        </xdr:cNvPr>
        <xdr:cNvSpPr txBox="1"/>
      </xdr:nvSpPr>
      <xdr:spPr>
        <a:xfrm>
          <a:off x="116417" y="8678334"/>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10</xdr:row>
      <xdr:rowOff>0</xdr:rowOff>
    </xdr:from>
    <xdr:ext cx="184731" cy="264560"/>
    <xdr:sp macro="" textlink="">
      <xdr:nvSpPr>
        <xdr:cNvPr id="2" name="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 name="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 name="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 name="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 name="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 name="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 name="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 name="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 name="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 name="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 name="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 name="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 name="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 name="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 name="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 name="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 name="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 name="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 name="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 name="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 name="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 name="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 name="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 name="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7" name="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 name="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 name="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 name="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 name="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 name="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 name="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 name="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 name="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 name="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 name="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 name="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 name="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 name="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 name="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2" name="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 name="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 name="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 name="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 name="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 name="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 name="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 name="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 name="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 name="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 name="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 name="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 name="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 name="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 name="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 name="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 name="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9" name="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0" name="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 name="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2" name="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 name="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 name="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 name="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 name="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 name="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 name="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 name="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 name="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 name="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 name="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 name="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 name="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 name="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 name="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7" name="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 name="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 name="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0" name="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 name="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 name="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 name="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 name="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 name="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 name="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 name="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 name="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 name="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 name="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91"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2"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3"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4"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5"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6"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7"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9"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00"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01"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02"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03" name="1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 name="1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 name="1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 name="1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 name="1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 name="1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 name="1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 name="1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 name="1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2" name="1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3" name="1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 name="1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5" name="1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6" name="1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 name="1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 name="1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 name="1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 name="1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 name="1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0" name="1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1" name="1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 name="1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3" name="1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4" name="1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 name="1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 name="1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 name="1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 name="1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 name="1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 name="1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 name="1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 name="1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 name="1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8"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9"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1"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2"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6"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7"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9"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3"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4"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6"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7"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1"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2"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4"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5"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6"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7"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8"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9"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0"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1"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2"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3"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4"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5"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6"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7"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8"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19"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0"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1"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2"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6"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7"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9"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4"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269"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0"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1"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2"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3"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4"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5"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6"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7"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8"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79"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80"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81"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82"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83"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84"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85"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86"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98"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99"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0" name="3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1" name="3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2" name="3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3" name="3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4" name="3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5" name="3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6" name="3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7" name="3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8" name="3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09" name="3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0" name="3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1" name="3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2" name="3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3" name="3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4" name="3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5" name="3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6" name="32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7" name="32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 name="32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9" name="32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0" name="32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1" name="32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2" name="32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3" name="33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4" name="33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5" name="33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6" name="33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7" name="33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8" name="33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29" name="33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0" name="33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1" name="33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2" name="33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3" name="3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4" name="3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5" name="3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6" name="3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7" name="3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8" name="3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39" name="3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0" name="3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1" name="3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2" name="3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3" name="3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4" name="3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5" name="3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6" name="35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7" name="35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8" name="35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49" name="35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0" name="35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1" name="35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2" name="35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3" name="36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4" name="36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5" name="36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6" name="36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7" name="36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8" name="36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59" name="36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0" name="36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1" name="36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2" name="36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3" name="37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4" name="37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5" name="37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6" name="37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7" name="37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8" name="37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69" name="37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0" name="37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1" name="37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2" name="37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3" name="38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4" name="38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5" name="38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6" name="38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7" name="38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8" name="38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79" name="38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0" name="38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1" name="38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2" name="38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3" name="39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4" name="39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5" name="39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6" name="39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7" name="39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8" name="39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 name="39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0" name="39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1" name="3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2" name="3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3" name="4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4" name="4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5" name="4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6" name="4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7" name="4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8" name="4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99" name="40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0" name="4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1" name="4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2" name="4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3" name="4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4" name="4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5" name="4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6" name="4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7" name="4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8" name="4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09" name="4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0" name="4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1" name="4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2" name="4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3" name="4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4" name="4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5" name="4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92366" cy="207869"/>
    <xdr:sp macro="" textlink="">
      <xdr:nvSpPr>
        <xdr:cNvPr id="416" name="423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17" name="424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18" name="425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19" name="426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0" name="427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1" name="428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2" name="429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3" name="430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4" name="431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5" name="432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6" name="433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7" name="434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8" name="435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29" name="436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0" name="437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 name="438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 name="439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184731" cy="264560"/>
    <xdr:sp macro="" textlink="">
      <xdr:nvSpPr>
        <xdr:cNvPr id="433" name="4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4" name="4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5" name="4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6" name="4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7" name="4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8" name="4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9" name="4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40" name="4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41" name="4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42" name="4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43" name="4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44" name="4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446"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47"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48"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49"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0"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1"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3"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4"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5"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6"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7"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58"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6"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7"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9"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0"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5"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0"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1"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2"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3"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4"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5"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6"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7"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8"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09"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0"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1"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2"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3"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8"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9"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4"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5"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1"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2"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3"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4"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5"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6"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7"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8"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9"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0"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1"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2"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3"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4"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5"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6"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7"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8"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79"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0"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1"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2"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3"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4"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5"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6"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7"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8"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89"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90"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591"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2"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3"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4"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5"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6"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7"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8"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599"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0"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1"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2"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3"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4"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5"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6"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607"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608"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09"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0"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1"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2"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3"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4"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5"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6"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7"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8"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19"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20"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621"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2"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3"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4"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5"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6"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7"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8"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29"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30"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31"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632"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633"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4"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5"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6"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7"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8"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39"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0"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1"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2"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3"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4"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5"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6"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7"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8"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49"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0"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1"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2"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3"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4"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5"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6"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7"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8"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59"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0"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1"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2"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3"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4"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5"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6"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7"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8"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69"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0"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1"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2"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3"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4"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5"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6"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7"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8"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79"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0"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1"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2"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3"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4"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5"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6"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7"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8"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89"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0"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1"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2"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3"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4"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5"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6"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7"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8"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699"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0"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1"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2"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3"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4"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5"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6"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7"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8"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09"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0"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1"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2"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3"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4"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5"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6"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7"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8"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19"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0"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1"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2"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3"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4"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5"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6"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7"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8"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29"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0"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1"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2"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3"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4"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5"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6"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7"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8"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39"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0"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1"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2"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3"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4"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5"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6"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7"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8"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49"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0"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1"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2"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3"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4"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5"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6"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7"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8"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59"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0"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1"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2"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3"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4"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65"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766"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67"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68"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69"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0"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1"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2"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3"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4"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5"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6"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7"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8"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79"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80"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81"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782"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783"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4"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5"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6"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7"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8"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89"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0"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1"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2"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3"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4"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795"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796"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797"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798"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799"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0"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1"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2"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3"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4"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5"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6"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807"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808"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09"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0"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1"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2"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3"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4"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5"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6"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7"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8"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19"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0"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1"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2"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3"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4"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5"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6"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7"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8"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29"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0"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1"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2"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3"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4"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5"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6"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7"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8"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39"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0"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1"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2"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3"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4"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5"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6"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7"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8"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49"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0"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1"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2"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3"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4"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5"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6"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7"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8"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59"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0"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1"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2"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3"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4"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5"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6"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7"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8"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69"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0"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1"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2"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3"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4"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5"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6"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7"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8"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79"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0"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1"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2"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3"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4"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5"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6"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7"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8"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89"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0"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1"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2"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3"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4"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5"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6"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7"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8"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899"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0"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1"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2"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3"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4"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5"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6"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7"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8"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09"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0"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1"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2"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3"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4"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5"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6"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7"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8"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19"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0"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1"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2"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3"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4"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5"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6"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7"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8"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29"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0"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1"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2"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3"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4"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5"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6"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7"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8"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39"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40"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941"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2"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3"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4"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5"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6"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7"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8"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49"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0"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1"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2"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3"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4"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5"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6"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957"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958"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59"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0"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1"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2"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3"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4"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5"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6"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7"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8"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69"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0" name="2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1" name="2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2" name="3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3"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4"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5" name="3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6" name="3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7" name="3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978" name="4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79"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980"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1"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2"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3"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4"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5"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6"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7"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8"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89"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90"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991"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992"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3"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4"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5"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6"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7"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8"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999"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0"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1"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2"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3"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4"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5"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6"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7"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8"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09"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0"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1"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2"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3"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4"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5"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6"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7"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8"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19"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0"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1"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2"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3"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4"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5"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6"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7"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8"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29"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0"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1"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2"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3"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4"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5"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6"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7"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8"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39"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0"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1"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2"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3"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4"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5"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6"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7"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8"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49"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0"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1"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2"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3"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4"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5"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6"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7"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8"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59"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0"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1"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2"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3"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4"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5"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6"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7"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8"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69"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0"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1"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2"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3"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4"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5"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6"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7"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8"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79"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0"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1"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2"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3"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4"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5"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6"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7"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8"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89"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0"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1"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2"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3"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4"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5"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6"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7"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8"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099"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0"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1"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2"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3"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4"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5"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6"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7"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8"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09"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0"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1"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2"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3"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4"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5"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6"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7"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8"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19"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20"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21"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22"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23"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24"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1125"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26"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27"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28"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29"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0"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1"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2"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3"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4"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5"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6"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7"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8"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39"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40"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141"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142"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3"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4"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5"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6"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7"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8"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49"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50"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51"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52"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53"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54"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1155"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56"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57"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58"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59"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0"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1"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2"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3"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4"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5"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166"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167"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68"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69"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0"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1"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2"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3"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4"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5"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6"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7"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8"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79"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0"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1"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2"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3"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4"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5"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6"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7"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8"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89"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0"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1"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2"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3"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4"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5"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6"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7"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8"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199"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0"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1"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2"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3"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4"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5"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6"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7"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8"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09"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0"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1"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2"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3"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4"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5"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6"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7"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8"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19"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0"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1"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2"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3"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4"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5"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6"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7"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8"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29"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0"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1"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2"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3"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4"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5"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6"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7"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8"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39"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0"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1"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2"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3"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4"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5"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6"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7"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8"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49"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0"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1"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2"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3"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4"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5"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6"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7"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8"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59"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0"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1"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2"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3"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4"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5"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6"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7"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8"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69"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0"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1"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2"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3"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4"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5"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6"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7"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8"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79"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0"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1"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2"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3"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4"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5"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6"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7"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8"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89"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0"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1"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2"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3"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4"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5"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6"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7"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8"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299"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1300"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1"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2"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3"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4"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5"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6"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7"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8"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09"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0"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1"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2"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3"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4"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5"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316"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317"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18"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19"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0"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1"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2"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3"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4"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5"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6"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27"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28" name="2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29" name="2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0" name="3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1"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2"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3" name="3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4" name="3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5" name="3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336" name="4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37"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1338"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39"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0"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1"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2"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3"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4"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5"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6"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7"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8"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349"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350"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1"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2"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3"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4"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5"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6"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7"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8"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59"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0"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1"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2"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3"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4"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5"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6"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7"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8"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69"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0"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1"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2"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3"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4"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5"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6"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7"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8"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79"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0"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1"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2"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3"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4"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5"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6"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7"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8"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89"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0"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1"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2"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3"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4"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5"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6"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7"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8"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399"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0"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1"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2"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3"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4"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5"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6"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7"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8"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09"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0"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1"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2"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3"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4"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5"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6"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7"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8"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19"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0"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1"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2"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3"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4"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5"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6"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7"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8"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29"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0"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1"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2"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3"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4"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5"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6"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7"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8"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39"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0"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1"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2"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3"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4"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5"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6"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7"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8"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49"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0"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1"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2"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3"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4"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5"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6"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7"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8"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59"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0"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1"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2"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3"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4"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5"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6"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7"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8"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69"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0"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1"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2"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3"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4"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5"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6"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7"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8"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79"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80"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81"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482"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1483"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84"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85"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86"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87"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88"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89"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0"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1"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2"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3"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4"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5"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6"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7"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8"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499"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500"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1"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2"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3"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4"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5"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6"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7"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8"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09"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10"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11"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12"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1513"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14"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15"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16"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17"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18"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19"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20"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21"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22"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23"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524"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525"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26"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27"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28"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29"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0"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1"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2"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3"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4"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5"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6"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7"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8"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39"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0"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1"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2"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3"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4"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5"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6"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7"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8"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49"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0"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1"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2"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3"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4"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5"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6"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7"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8"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59"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0"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1"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2"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3"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4"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5"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6"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7"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8"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69"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0"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1"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2"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3"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4"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5"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6"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7"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8"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79"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0"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1"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2"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3"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4"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5"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6"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7"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8"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89"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0"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1"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2"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3"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4"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5"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6"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7"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8"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599"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0"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1"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2"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3"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4"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5"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6"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7"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8"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09"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0"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1"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2"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3"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4"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5"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6"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7"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8"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19"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0"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1"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2"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3"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4"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5"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6"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7"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8"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29"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0"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1"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2"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3"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4"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5"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6"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7"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8"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39"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0"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1"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2"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3"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4"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5"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6"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7"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8"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49"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0"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1"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2"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3"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4"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5"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6"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57"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1658"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59"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0"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1"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2"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3"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4"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5"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6"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7"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8"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69"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70"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71"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72"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73"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674"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675"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76"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77"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78"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79"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0"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1"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2"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3"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4"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5"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6"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687"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1688"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89"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0"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1"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2"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3"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4"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5"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6"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7"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8"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699"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700"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1"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2"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3"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4"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5"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6"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7"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8"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09"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0"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1"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2"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3"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4"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5"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6"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7"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8"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19"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0"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1"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2"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3"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4"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5"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6"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7"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8"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29"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0"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1"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2"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3"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4"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5"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6"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7"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8"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39"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0"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1"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2"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3"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4"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5"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6"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7"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8"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49"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0"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1"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2"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3"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4"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5"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6"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7"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8"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59"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0"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1"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2"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3"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4"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5"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6"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7"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8"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69"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0"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1"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2"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3"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4"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5"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6"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7"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8"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79"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0"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1"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2"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3"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4"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5"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6"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7"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8"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89"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0"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1"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2"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3"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4"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5"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6"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7"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8"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799"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0"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1"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2"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3"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4"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5"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6"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7"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8"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09"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0"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1"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2"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3"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4"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5"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6"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7"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8"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19"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0"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1"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2"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3"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4"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5"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6"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7"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8"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29"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30"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31"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32"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1833"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34"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35"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36"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37"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38"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39"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0"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1"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2"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3"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4"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5"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6"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7"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8"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1849"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850"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1"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2"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3"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4"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5"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6"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7"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8"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59"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60"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61"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1862"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63"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1864"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65"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66"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67"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68"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69"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70"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71"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72"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73"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74"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1875"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1876"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77"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78"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79"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0"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1"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2"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3"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4"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5"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6"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7"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8"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89"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0"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1"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2"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3"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4"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5"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6"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7"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8"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899"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0"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1"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2"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3"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4"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5"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6"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7"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8"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09"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0"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1"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2"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3"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4"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5"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6"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7"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8"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19"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0"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1"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2"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3"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4"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5"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6"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7"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8"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29"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0"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1"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2"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3"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4"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5"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6"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7"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8"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39"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0"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1"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2"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3"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4"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5"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6"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7"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8"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49"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0"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1"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2"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3"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4"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5"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6"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7"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8"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59"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0"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1"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2"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3"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4"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5"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6"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7"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8"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69"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0"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1"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2"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3"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4"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5"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6"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7"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8"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79"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0"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1"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2"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3"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4"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5"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6"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7"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8"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89"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0"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1"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2"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3"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4"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5"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6"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7"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8"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1999"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0"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1"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2"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3"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4"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5"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6"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7"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08"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2009"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0"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1"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2"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3"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4"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5"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6"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7"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8"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19"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20"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21"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22"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23"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24"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025"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026"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27"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28"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29"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0"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1"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2"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3"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4"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5"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6"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037"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38" name="1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97227" cy="217317"/>
    <xdr:sp macro="" textlink="">
      <xdr:nvSpPr>
        <xdr:cNvPr id="2039" name="90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0" name="91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1" name="92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2" name="93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3" name="94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4" name="95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5" name="96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6" name="97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7" name="98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8" name="99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49" name="100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7227" cy="217317"/>
    <xdr:sp macro="" textlink="">
      <xdr:nvSpPr>
        <xdr:cNvPr id="2050" name="101 CuadroTexto"/>
        <xdr:cNvSpPr txBox="1"/>
      </xdr:nvSpPr>
      <xdr:spPr>
        <a:xfrm>
          <a:off x="0" y="224790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184731" cy="264560"/>
    <xdr:sp macro="" textlink="">
      <xdr:nvSpPr>
        <xdr:cNvPr id="2051" name="11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2" name="11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3" name="12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4" name="12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5" name="12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6" name="12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7" name="12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8" name="12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59" name="14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0" name="14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1" name="14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2" name="14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3" name="14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4" name="14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5" name="14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6" name="15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7" name="15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8" name="15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69" name="15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0" name="15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1" name="15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2" name="15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3" name="15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4" name="15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5" name="15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6" name="16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7" name="16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8" name="16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79" name="16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0" name="16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1" name="16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2" name="16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3" name="16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4" name="16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5" name="16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6" name="17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7" name="17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8" name="17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89" name="17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0" name="17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1" name="17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2" name="17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3" name="17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4" name="17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5" name="17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6" name="18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7" name="18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8" name="18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099" name="18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0" name="18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1" name="18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2" name="18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3" name="18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4" name="18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5" name="18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6" name="19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7" name="19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8" name="19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09" name="19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0" name="19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1" name="19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2" name="19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3" name="19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4" name="19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5" name="19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6" name="20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7" name="20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8" name="20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19" name="20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0" name="20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1" name="20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2" name="20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3" name="20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4" name="20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5" name="20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6" name="21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7" name="21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8" name="21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29" name="21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0" name="21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1" name="21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2" name="21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3" name="21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4" name="21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5" name="21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6" name="22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7" name="22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8" name="22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39" name="22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0" name="22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1" name="22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2" name="22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3" name="22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4" name="22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5" name="22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6" name="23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7" name="23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8" name="23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49" name="23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0" name="23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1" name="23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2" name="23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3" name="23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4" name="23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5" name="23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6" name="24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7" name="24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8" name="24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59" name="24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0" name="24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1" name="24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2" name="24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3" name="24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4" name="24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5" name="24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6" name="25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7" name="25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8" name="25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69" name="25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0" name="25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1" name="25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2" name="25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3" name="25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4" name="25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5" name="25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6" name="26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7" name="26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8" name="26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79" name="26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80" name="26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81" name="26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82" name="26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183" name="26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92366" cy="207869"/>
    <xdr:sp macro="" textlink="">
      <xdr:nvSpPr>
        <xdr:cNvPr id="2184" name="268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85" name="269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86" name="270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87" name="271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88" name="272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89" name="273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0" name="274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1" name="275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2" name="276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3" name="277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4" name="278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5" name="279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6" name="280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7" name="281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8" name="282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199" name="283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92366" cy="207869"/>
    <xdr:sp macro="" textlink="">
      <xdr:nvSpPr>
        <xdr:cNvPr id="2200" name="284 CuadroTexto"/>
        <xdr:cNvSpPr txBox="1"/>
      </xdr:nvSpPr>
      <xdr:spPr>
        <a:xfrm>
          <a:off x="0" y="224790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7</xdr:row>
      <xdr:rowOff>0</xdr:rowOff>
    </xdr:from>
    <xdr:ext cx="184731" cy="264560"/>
    <xdr:sp macro="" textlink="">
      <xdr:nvSpPr>
        <xdr:cNvPr id="2201" name="28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2" name="28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3" name="287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4" name="288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5" name="289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6" name="290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7" name="291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8" name="292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09" name="293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10" name="294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11" name="295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7</xdr:row>
      <xdr:rowOff>0</xdr:rowOff>
    </xdr:from>
    <xdr:ext cx="184731" cy="264560"/>
    <xdr:sp macro="" textlink="">
      <xdr:nvSpPr>
        <xdr:cNvPr id="2212" name="296 CuadroTexto"/>
        <xdr:cNvSpPr txBox="1"/>
      </xdr:nvSpPr>
      <xdr:spPr>
        <a:xfrm>
          <a:off x="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13"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2214"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15"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16"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17"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18"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19"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20"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21"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22"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23"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24"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225"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226"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27"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28"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29"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0"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1"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2"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3"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4"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5"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6"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7"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8"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39"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0"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1"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2"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3"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4"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5"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6"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7"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8"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49"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0"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1"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2"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3"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4"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5"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6"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7"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8"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59"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0"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1"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2"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3"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4"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5"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6"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7"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8"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69"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0"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1"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2"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3"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4"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5"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6"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7"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8"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79"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0"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1"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2"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3"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4"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5"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6"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7"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8"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89"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0"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1"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2"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3"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4"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5"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6"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7"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8"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299"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0"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1"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2"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3"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4"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5"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6"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7"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8"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09"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0"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1"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2"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3"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4"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5"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6"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7"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8"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19"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0"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1"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2"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3"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4"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5"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6"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7"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8"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29"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0"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1"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2"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3"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4"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5"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6"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7"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8"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39"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0"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1"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2"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3"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4"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5"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6"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7"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8"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49"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0"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1"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2"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3"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4"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5"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6"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7"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58"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2359"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0"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1"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2"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3"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4"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5"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6"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7"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8"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69"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70"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71"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72"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73"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74"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375"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376"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77"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78"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79"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0"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1"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2"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3"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4"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5"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6"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87"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388"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389"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390"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2391"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2"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3"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4"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5"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6"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7"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8"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399"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400"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401"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402"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403"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4"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5"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6"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7"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8"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09"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0"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1"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2"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3"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4"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5"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6"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7"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8"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19"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0"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1"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2"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3"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4"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5"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6"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7"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8"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29"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0"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1"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2"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3"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4"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5"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6"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7"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8"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39"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0"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1"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2"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3"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4"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5"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6"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7"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8"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49"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0"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1"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2"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3"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4"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5"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6"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7"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8"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59"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0"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1"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2"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3"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4"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5"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6"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7"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8"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69"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0"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1"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2"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3"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4"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5"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6"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7"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8"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79"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0"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1"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2"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3"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4"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5"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6"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7"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8"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89"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0"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1"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2"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3"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4"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5"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6"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7"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8"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499"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0"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1"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2"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3"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4"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5"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6"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7"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8"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09"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0"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1"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2"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3"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4"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5"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6"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7"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8"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19"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0"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1"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2"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3"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4"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5"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6"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7"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8"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29"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0"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1"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2"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3"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4"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35"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2536"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37"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38"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39"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0"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1"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2"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3"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4"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5"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6"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7"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8"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49"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50"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51"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552"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553"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4"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5"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6"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7"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8"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59"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0"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1"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2"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3"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4"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5" name="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6" name="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7" name="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8" name="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69" name="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0" name="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1" name="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2" name="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3" name="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4" name="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5" name="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6" name="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7" name="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8" name="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79" name="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0" name="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1" name="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2" name="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3" name="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4" name="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5" name="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6" name="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7" name="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8" name="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89" name="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0" name="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1" name="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2" name="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3" name="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4" name="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5" name="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6" name="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7" name="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8" name="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599" name="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0" name="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1" name="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2" name="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3" name="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4" name="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5" name="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6" name="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7" name="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8" name="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09" name="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0" name="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1" name="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2" name="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3" name="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4" name="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5" name="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6" name="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7" name="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8" name="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19" name="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0" name="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1" name="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2" name="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3" name="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4" name="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5" name="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6" name="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7" name="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8" name="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29" name="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0" name="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1" name="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2" name="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3" name="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4" name="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5" name="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6" name="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7" name="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8" name="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39" name="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0" name="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1" name="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2" name="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3" name="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4" name="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5" name="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6" name="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7" name="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8" name="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49" name="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0" name="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1" name="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2" name="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3" name="1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4" name="1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5" name="1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6" name="1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7" name="1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8" name="1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59" name="1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0" name="1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1" name="1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2" name="1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3" name="1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4" name="1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5" name="1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6" name="1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7" name="1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8" name="1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69" name="1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0" name="1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1" name="1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2" name="1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3" name="1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4" name="1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5" name="1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6" name="1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7" name="1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8" name="1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79" name="1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0" name="1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1" name="1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2" name="1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3" name="1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4" name="1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685" name="1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86" name="30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87" name="3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88" name="3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89" name="3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0" name="3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1" name="3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2" name="3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3" name="3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4" name="3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5" name="3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6" name="3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7" name="3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8" name="3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699" name="3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0" name="3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1" name="3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2" name="3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3" name="32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4" name="32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5" name="32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6" name="32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7" name="32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8" name="32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09" name="32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0" name="33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1" name="33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2" name="33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3" name="33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4" name="33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5" name="33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6" name="33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7" name="33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8" name="33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19" name="33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0" name="3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1" name="3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2" name="3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3" name="3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4" name="3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5" name="3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6" name="3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7" name="3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8" name="3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29" name="3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0" name="3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1" name="3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2" name="3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3" name="35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4" name="35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5" name="35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6" name="35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7" name="35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8" name="35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39" name="35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0" name="36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1" name="36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2" name="36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3" name="36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4" name="36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5" name="36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6" name="36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7" name="36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8" name="36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49" name="36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0" name="37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1" name="37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2" name="37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3" name="37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4" name="37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5" name="37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6" name="37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7" name="37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8" name="37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59" name="37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0" name="38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1" name="38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2" name="38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3" name="38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4" name="38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5" name="38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6" name="38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7" name="38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8" name="38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69" name="38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0" name="39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1" name="39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2" name="39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3" name="39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4" name="39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5" name="39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6" name="39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7" name="39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8" name="3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79" name="3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0" name="4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1" name="4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2" name="4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3" name="4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4" name="4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5" name="4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6" name="40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7" name="4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8" name="4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89" name="4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0" name="4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1" name="4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2" name="4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3" name="4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4" name="4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5" name="4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6" name="4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7" name="4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8" name="4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799" name="4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00" name="4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01" name="4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02" name="4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92366" cy="207869"/>
    <xdr:sp macro="" textlink="">
      <xdr:nvSpPr>
        <xdr:cNvPr id="2803" name="423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04" name="424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05" name="425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06" name="426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07" name="427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08" name="428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09" name="429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0" name="430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1" name="431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2" name="432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3" name="433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4" name="434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5" name="435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6" name="436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7" name="437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8" name="438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2819" name="439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184731" cy="264560"/>
    <xdr:sp macro="" textlink="">
      <xdr:nvSpPr>
        <xdr:cNvPr id="2820" name="4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1" name="4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2" name="4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3" name="4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4" name="4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5" name="4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6" name="4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7" name="4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8" name="4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29" name="4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30" name="4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2831" name="4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32"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2833"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34"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35"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36"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37"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38"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39"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40"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41"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42"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43"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2844"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845"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46"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47"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48"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49"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0"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1"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2"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3"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4"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5"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6"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7"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8"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59"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0"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1"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2"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3"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4"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5"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6"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7"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8"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69"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0"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1"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2"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3"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4"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5"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6"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7"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8"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79"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0"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1"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2"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3"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4"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5"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6"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7"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8"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89"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0"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1"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2"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3"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4"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5"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6"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7"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8"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899"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0"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1"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2"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3"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4"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5"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6"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7"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8"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09"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0"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1"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2"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3"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4"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5"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6"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7"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8"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19"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0"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1"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2"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3"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4"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5"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6"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7"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8"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29"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0"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1"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2"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3"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4"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5"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6"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7"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8"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39"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0"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1"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2"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3"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4"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5"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6"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7"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8"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49"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0"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1"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2"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3"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4"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5"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6"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7"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8"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59"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0"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1"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2"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3"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4"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5"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6"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7"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8"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69"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0"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1"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2"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3"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4"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5"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6"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77"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2978"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79"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0"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1"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2"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3"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4"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5"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6"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7"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8"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89"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90"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91"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92"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93"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2994"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2995"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96"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97"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98"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2999"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0"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1"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2"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3"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4"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5"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6"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07"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3008"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09"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0"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1"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2"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3"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4"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5"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6"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7"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8"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019"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020"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1"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2"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3"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4"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5"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6"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7"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8"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29"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0"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1"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2"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3"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4"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5"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6"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7"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8"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39"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0"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1"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2"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3"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4"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5"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6"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7"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8"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49"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0"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1"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2"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3"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4"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5"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6"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7"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8"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59"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0"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1"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2"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3"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4"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5"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6"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7"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8"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69"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0"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1"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2"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3"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4"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5"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6"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7"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8"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79"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0"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1"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2"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3"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4"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5"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6"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7"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8"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89"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0"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1"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2"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3"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4"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5"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6"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7"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8"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099"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0"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1"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2"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3"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4"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5"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6"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7"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8"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09"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0"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1"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2"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3"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4"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5"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6"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7"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8"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19"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0"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1"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2"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3"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4"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5"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6"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7"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8"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29"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0"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1"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2"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3"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4"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5"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6"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7"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8"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39"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0"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1"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2"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3"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4"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5"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6"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7"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8"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49"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50"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51"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52"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3153"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54"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55"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56"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57"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58"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59"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0"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1"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2"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3"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4"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5"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6"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7"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8"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169"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170"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1"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2"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3"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4"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5"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6"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7"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8"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79"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80"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81"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2" name="2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3" name="2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4" name="3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5"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6"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7" name="3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8" name="3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89" name="3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190" name="4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191"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3192"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3"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4"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5"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6"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7"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8"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199"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200"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201"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202"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203"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204"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05"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06"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07"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08"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09"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0"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1"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2"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3"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4"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5"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6"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7"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8"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19"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0"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1"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2"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3"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4"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5"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6"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7"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8"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29"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0"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1"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2"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3"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4"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5"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6"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7"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8"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39"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0"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1"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2"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3"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4"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5"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6"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7"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8"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49"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0"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1"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2"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3"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4"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5"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6"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7"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8"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59"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0"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1"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2"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3"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4"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5"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6"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7"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8"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69"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0"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1"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2"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3"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4"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5"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6"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7"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8"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79"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0"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1"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2"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3"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4"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5"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6"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7"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8"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89"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0"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1"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2"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3"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4"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5"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6"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7"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8"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299"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0"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1"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2"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3"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4"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5"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6"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7"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8"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09"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0"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1"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2"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3"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4"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5"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6"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7"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8"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19"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0"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1"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2"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3"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4"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5"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6"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7"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8"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29"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0"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1"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2"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3"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4"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5"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36"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3337"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38"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39"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0"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1"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2"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3"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4"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5"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6"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7"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8"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49"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50"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51"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52"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353"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354"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55"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56"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57"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58"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59"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0"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1"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2"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3"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4"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5"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66"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3367"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68"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69"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0"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1"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2"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3"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4"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5"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6"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7"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378"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379"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0"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1"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2"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3"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4"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5"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6"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7"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8"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89"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0"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1"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2"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3"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4"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5"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6"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7"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8"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399"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0"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1"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2"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3"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4"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5"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6"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7"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8"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09"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0"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1"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2"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3"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4"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5"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6"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7"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8"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19"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0"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1"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2"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3"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4"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5"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6"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7"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8"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29"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0"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1"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2"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3"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4"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5"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6"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7"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8"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39"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0"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1"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2"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3"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4"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5"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6"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7"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8"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49"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0"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1"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2"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3"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4"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5"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6"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7"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8"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59"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0"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1"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2"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3"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4"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5"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6"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7"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8"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69"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0"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1"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2"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3"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4"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5"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6"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7"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8"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79"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0"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1"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2"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3"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4"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5"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6"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7"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8"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89"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0"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1"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2"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3"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4"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5"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6"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7"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8"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499"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0"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1"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2"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3"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4"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5"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6"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7"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8"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09"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10"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11"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3512"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3"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4"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5"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6"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7"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8"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19"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0"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1"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2"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3"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4"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5"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6"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7"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528"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529"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0"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1"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2"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3"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4"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5"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6"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7"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8"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39"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40"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41"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3542"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3"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4"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5"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6"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7"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8"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49"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50"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51"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52"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553"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554"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55"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56"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57"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58"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59"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0"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1"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2"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3"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4"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5"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6"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7"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8"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69"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0"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1"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2"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3"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4"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5"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6"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7"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8"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79"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0"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1"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2"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3"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4"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5"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6"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7"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8"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89"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0"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1"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2"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3"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4"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5"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6"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7"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8"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599"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0"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1"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2"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3"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4"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5"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6"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7"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8"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09"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0"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1"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2"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3"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4"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5"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6"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7"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8"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19"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0"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1"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2"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3"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4"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5"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6"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7"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8"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29"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0"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1"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2"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3"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4"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5"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6"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7"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8"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39"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0"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1"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2"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3"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4"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5"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6"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7"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8"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49"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0"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1"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2"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3"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4"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5"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6"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7"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8"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59"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0"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1"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2"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3"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4"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5"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6"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7"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8"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69"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0"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1"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2"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3"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4"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5"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6"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7"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8"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79"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0"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1"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2"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3"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4"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5"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686"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3687"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88"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89"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0"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1"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2"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3"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4"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5"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6"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7"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8"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699"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700"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701"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702"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703"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704"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05"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06"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07"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08"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09"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0"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1"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2"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3"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4"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5"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16"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3717"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18"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19"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0"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1"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2"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3"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4"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5"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6"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7"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728"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729"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0"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1"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2"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3"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4"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5"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6"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7"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8"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39"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0"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1"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2"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3"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4"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5"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6"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7"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8"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49"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0"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1"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2"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3"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4"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5"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6"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7"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8"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59"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0"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1"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2"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3"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4"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5"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6"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7"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8"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69"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0"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1"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2"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3"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4"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5"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6"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7"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8"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79"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0"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1"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2"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3"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4"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5"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6"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7"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8"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89"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0"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1"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2"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3"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4"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5"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6"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7"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8"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799"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0"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1"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2"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3"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4"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5"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6"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7"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8"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09"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0"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1"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2"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3"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4"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5"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6"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7"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8"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19"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0"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1"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2"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3"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4"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5"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6"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7"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8"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29"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0"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1"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2"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3"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4"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5"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6"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7"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8"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39"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0"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1"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2"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3"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4"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5"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6"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7"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8"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49"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0"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1"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2"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3"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4"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5"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6"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7"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8"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59"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60"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61"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3862"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3"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4"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5"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6"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7"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8"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69"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0"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1"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2"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3"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4"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5"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6"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7"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3878"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879"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0"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1"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2"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3"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4"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5"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6"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7"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8"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89"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0" name="2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1" name="2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2" name="3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3"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4"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5" name="3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6" name="3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7" name="3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3898" name="4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899"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3900"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1"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2"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3"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4"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5"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6"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7"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8"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09"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10"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3911"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3912"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3"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4"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5"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6"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7"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8"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19"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0"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1"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2"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3"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4"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5"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6"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7"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8"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29"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0"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1"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2"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3"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4"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5"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6"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7"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8"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39"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0"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1"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2"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3"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4"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5"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6"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7"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8"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49"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0"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1"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2"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3"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4"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5"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6"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7"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8"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59"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0"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1"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2"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3"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4"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5"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6"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7"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8"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69"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0"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1"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2"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3"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4"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5"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6"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7"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8"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79"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0"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1"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2"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3"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4"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5"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6"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7"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8"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89"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0"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1"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2"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3"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4"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5"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6"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7"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8"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3999"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0"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1"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2"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3"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4"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5"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6"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7"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8"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09"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0"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1"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2"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3"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4"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5"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6"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7"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8"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19"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0"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1"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2"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3"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4"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5"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6"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7"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8"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29"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0"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1"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2"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3"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4"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5"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6"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7"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8"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39"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40"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41"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42"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43"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44"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4045"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46"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47"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48"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49"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0"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1"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2"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3"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4"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5"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6"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7"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8"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59"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60"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061"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062"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3"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4"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5"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6"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7"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8"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69"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0"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1"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2"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3"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4" name="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5" name="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6" name="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7" name="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8" name="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79" name="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0" name="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1" name="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2" name="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3" name="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4" name="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5" name="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6" name="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7" name="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8" name="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89" name="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0" name="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1" name="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2" name="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3" name="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4" name="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5" name="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6" name="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7" name="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8" name="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099" name="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0" name="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1" name="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2" name="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3" name="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4" name="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5" name="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6" name="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7" name="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8" name="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09" name="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0" name="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1" name="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2" name="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3" name="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4" name="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5" name="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6" name="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7" name="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8" name="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19" name="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0" name="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1" name="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2" name="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3" name="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4" name="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5" name="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6" name="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7" name="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8" name="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29" name="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0" name="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1" name="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2" name="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3" name="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4" name="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5" name="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6" name="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7" name="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8" name="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39" name="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0" name="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1" name="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2" name="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3" name="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4" name="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5" name="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6" name="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7" name="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8" name="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49" name="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0" name="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1" name="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2" name="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3" name="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4" name="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5" name="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6" name="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7" name="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8" name="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59" name="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0" name="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1" name="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2" name="1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3" name="1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4" name="1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5" name="1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6" name="1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7" name="1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8" name="1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69" name="1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0" name="1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1" name="1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2" name="1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3" name="1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4" name="1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5" name="1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6" name="1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7" name="1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8" name="1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79" name="1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0" name="1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1" name="1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2" name="1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3" name="1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4" name="1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5" name="1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6" name="1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7" name="1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8" name="1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89" name="1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90" name="1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91" name="1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92" name="1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93" name="1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194" name="1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95" name="30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96" name="3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97" name="3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98" name="3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199" name="3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0" name="3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1" name="3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2" name="3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3" name="3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4" name="3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5" name="3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6" name="3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7" name="3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8" name="3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09" name="3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0" name="3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1" name="3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2" name="32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3" name="32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4" name="32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5" name="32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6" name="32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7" name="32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8" name="32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19" name="33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0" name="33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1" name="33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2" name="33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3" name="33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4" name="33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5" name="33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6" name="33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7" name="33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8" name="33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29" name="3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0" name="3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1" name="3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2" name="3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3" name="3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4" name="3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5" name="3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6" name="3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7" name="3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8" name="3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39" name="3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0" name="3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1" name="3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2" name="35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3" name="35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4" name="35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5" name="35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6" name="35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7" name="35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8" name="35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49" name="36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0" name="36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1" name="36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2" name="36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3" name="36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4" name="36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5" name="36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6" name="36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7" name="36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8" name="36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59" name="37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0" name="37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1" name="37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2" name="37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3" name="37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4" name="37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5" name="37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6" name="37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7" name="37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8" name="37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69" name="38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0" name="38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1" name="38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2" name="38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3" name="38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4" name="38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5" name="38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6" name="38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7" name="38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8" name="38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79" name="39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0" name="39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1" name="39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2" name="39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3" name="39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4" name="39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5" name="39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6" name="39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7" name="3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8" name="3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89" name="4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0" name="4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1" name="4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2" name="4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3" name="4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4" name="4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5" name="40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6" name="4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7" name="4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8" name="4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299" name="4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0" name="4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1" name="4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2" name="4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3" name="4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4" name="4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5" name="4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6" name="4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7" name="4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8" name="4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09" name="4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10" name="4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11" name="4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92366" cy="207869"/>
    <xdr:sp macro="" textlink="">
      <xdr:nvSpPr>
        <xdr:cNvPr id="4312" name="423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3" name="424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4" name="425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5" name="426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6" name="427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7" name="428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8" name="429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19" name="430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0" name="431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1" name="432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2" name="433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3" name="434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4" name="435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5" name="436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6" name="437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7" name="438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92366" cy="207869"/>
    <xdr:sp macro="" textlink="">
      <xdr:nvSpPr>
        <xdr:cNvPr id="4328" name="439 CuadroTexto"/>
        <xdr:cNvSpPr txBox="1"/>
      </xdr:nvSpPr>
      <xdr:spPr>
        <a:xfrm>
          <a:off x="10791825"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11</xdr:col>
      <xdr:colOff>0</xdr:colOff>
      <xdr:row>10</xdr:row>
      <xdr:rowOff>0</xdr:rowOff>
    </xdr:from>
    <xdr:ext cx="184731" cy="264560"/>
    <xdr:sp macro="" textlink="">
      <xdr:nvSpPr>
        <xdr:cNvPr id="4329" name="4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0" name="4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1" name="4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2" name="4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3" name="4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4" name="4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5" name="4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6" name="4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7" name="4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8" name="4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39" name="4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340" name="4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41"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4342"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3"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4"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5"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6"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7"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8"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49"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50"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51"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52"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353"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354"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55"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56"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57"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58"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59"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0"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1"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2"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3"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4"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5"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6"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7"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8"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69"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0"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1"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2"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3"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4"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5"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6"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7"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8"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79"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0"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1"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2"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3"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4"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5"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6"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7"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8"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89"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0"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1"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2"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3"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4"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5"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6"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7"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8"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399"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0"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1"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2"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3"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4"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5"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6"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7"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8"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09"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0"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1"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2"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3"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4"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5"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6"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7"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8"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19"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0"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1"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2"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3"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4"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5"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6"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7"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8"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29"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0"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1"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2"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3"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4"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5"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6"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7"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8"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39"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0"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1"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2"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3"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4"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5"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6"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7"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8"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49"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0"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1"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2"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3"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4"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5"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6"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7"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8"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59"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0"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1"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2"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3"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4"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5"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6"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7"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8"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69"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0"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1"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2"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3"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4"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5"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6"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7"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8"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79"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0"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1"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2"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3"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4"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5"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486"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4487"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88"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89"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0"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1"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2"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3"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4"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5"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6"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7"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8"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499"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500"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501"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502"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503"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504"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05"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06"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07"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08"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09"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0"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1"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2"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3"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4"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5"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16"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4517"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18"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19"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0"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1"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2"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3"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4"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5"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6"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7"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528"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529"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0"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1"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2"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3"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4"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5"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6"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7"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8"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39"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0"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1"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2"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3"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4"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5"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6"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7"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8"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49"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0"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1"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2"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3"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4"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5"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6"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7"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8"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59"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0"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1"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2"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3"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4"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5"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6"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7"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8"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69"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0"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1"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2"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3"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4"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5"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6"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7"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8"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79"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0"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1"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2"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3"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4"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5"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6"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7"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8"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89"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0"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1"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2"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3"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4"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5"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6"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7"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8"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599"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0"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1"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2"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3"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4"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5"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6"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7"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8"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09"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0"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1"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2"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3"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4"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5"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6"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7"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8"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19"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0"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1"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2"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3"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4"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5"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6"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7"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8"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29"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0"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1"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2"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3"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4"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5"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6"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7"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8"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39"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0"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1"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2"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3"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4"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5"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6"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7"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8"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49"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0"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1"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2"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3"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4"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5"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6"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7"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8"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59"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60"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61"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4662"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3"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4"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5"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6"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7"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8"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69"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0"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1"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2"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3"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4"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5"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6"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7"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678"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679"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0"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1"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2"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3"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4"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5"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6"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7"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8"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89"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690"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1" name="2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2" name="2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3" name="3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4"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5"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6" name="3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7" name="3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8" name="3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699" name="4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00"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4701"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2"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3"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4"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5"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6"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7"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8"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09"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10"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11"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4712"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713"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4"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5"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6"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7"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8"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19"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0"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1"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2"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3"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4"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5"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6"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7"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8"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29"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0"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1"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2"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3"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4"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5"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6"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7"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8"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39"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0"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1"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2"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3"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4"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5"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6"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7"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8"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49"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0"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1"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2"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3"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4"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5"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6"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7"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8"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59"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0"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1"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2"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3"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4"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5"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6"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7"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8"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69"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0"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1"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2"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3"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4"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5"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6"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7"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8"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79"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0"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1"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2"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3"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4"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5"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6"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7"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8"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89"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0"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1"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2"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3"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4"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5"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6"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7"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8"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799"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0"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1"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2"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3"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4"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5"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6"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7"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8"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09"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0"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1"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2"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3"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4"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5"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6"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7"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8"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19"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0"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1"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2"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3"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4"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5"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6"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7"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8"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29"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0"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1"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2"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3"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4"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5"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6"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7"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8"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39"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0"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1"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2"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3"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4"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45"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2366" cy="207869"/>
    <xdr:sp macro="" textlink="">
      <xdr:nvSpPr>
        <xdr:cNvPr id="4846" name="26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47" name="26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48" name="27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49" name="27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0" name="27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1" name="27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2" name="27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3" name="275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4" name="276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5" name="277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6" name="278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7" name="279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8" name="280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59" name="281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60" name="282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61" name="283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2366" cy="207869"/>
    <xdr:sp macro="" textlink="">
      <xdr:nvSpPr>
        <xdr:cNvPr id="4862" name="284 CuadroTexto"/>
        <xdr:cNvSpPr txBox="1"/>
      </xdr:nvSpPr>
      <xdr:spPr>
        <a:xfrm>
          <a:off x="0" y="3105150"/>
          <a:ext cx="92366" cy="207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4863"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4"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5"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6"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7"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8"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69"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0"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1"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2"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3"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4"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5" name="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6" name="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7" name="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8" name="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79" name="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0" name="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1" name="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2" name="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3" name="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4" name="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5" name="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6" name="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7" name="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8" name="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89" name="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0" name="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1" name="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2" name="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3" name="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4" name="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5" name="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6" name="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7" name="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8" name="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899" name="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0" name="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1" name="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2" name="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3" name="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4" name="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5" name="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6" name="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7" name="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8" name="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09" name="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0" name="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1" name="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2" name="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3" name="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4" name="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5" name="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6" name="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7" name="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8" name="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19" name="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0" name="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1" name="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2" name="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3" name="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4" name="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5" name="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6" name="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7" name="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8" name="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29" name="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0" name="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1" name="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2" name="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3" name="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4" name="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5" name="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6" name="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7" name="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8" name="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39" name="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0" name="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1" name="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2" name="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3" name="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4" name="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5" name="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6" name="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7" name="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8" name="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49" name="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0" name="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1" name="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2" name="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3" name="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4" name="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5" name="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6" name="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7" name="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8" name="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59" name="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0" name="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1" name="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2" name="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3" name="1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4" name="1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5" name="1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6" name="1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7" name="1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8" name="1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69" name="1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0" name="1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1" name="1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2" name="1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3" name="1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4" name="1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5" name="1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6" name="1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7" name="1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8" name="1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79" name="1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0" name="1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1" name="1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2" name="1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3" name="1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4" name="1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5" name="1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6" name="1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7" name="1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8" name="1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89" name="1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0" name="1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1" name="1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2" name="1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3" name="1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4" name="1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4995" name="1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996" name="3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997" name="3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998" name="3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4999" name="3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0" name="3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1" name="3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2" name="3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3" name="3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4" name="3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5" name="3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6" name="3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7" name="3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8" name="3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09" name="3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0" name="3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1" name="3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2" name="32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3" name="32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4" name="32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5" name="32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6" name="32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7" name="32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8" name="32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19" name="33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0" name="33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1" name="33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2" name="33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3" name="33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4" name="33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5" name="33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6" name="33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7" name="33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8" name="33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29" name="3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0" name="3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1" name="3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2" name="3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3" name="3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4" name="3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5" name="3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6" name="3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7" name="3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8" name="3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39" name="3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0" name="3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1" name="3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2" name="35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3" name="35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4" name="35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5" name="35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6" name="35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7" name="35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8" name="35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49" name="36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0" name="36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1" name="36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2" name="36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3" name="36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4" name="36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5" name="36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6" name="36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7" name="36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8" name="36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59" name="37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0" name="37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1" name="37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2" name="37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3" name="37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4" name="37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5" name="37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6" name="37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7" name="37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8" name="37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69" name="38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0" name="38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1" name="38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2" name="38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3" name="38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4" name="38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5" name="38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6" name="38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7" name="38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8" name="38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79" name="39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0" name="39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1" name="39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2" name="39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3" name="39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4" name="39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5" name="39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6" name="39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7" name="3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8" name="3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89" name="4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0" name="4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1" name="4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2" name="4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3" name="4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4" name="4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5" name="40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6" name="40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7" name="40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8" name="40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099" name="41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0" name="41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1" name="41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2" name="41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3" name="41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4" name="41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5" name="41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6" name="41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7" name="41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8" name="41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09" name="42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0" name="42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1" name="42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2" name="44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3" name="44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4" name="44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5" name="44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6" name="44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7" name="44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8" name="446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19" name="447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20" name="44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21" name="44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22" name="45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123" name="45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24"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5125"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26"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27"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28"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29"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0"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1"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2"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3"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4"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5"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136"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5137"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38"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39"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0"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1"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2"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3"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4"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5"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6"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7"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8"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49"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0"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1"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2"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3"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4"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5"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6"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7"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8"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59"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0"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1"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2"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3"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4"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5"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6"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7"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8"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69"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0"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1"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2"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3"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4"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5"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6"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7"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8"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79"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0"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1"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2"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3"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4"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5"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6"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7"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8"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89"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0"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1"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2"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3"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4"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5"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6"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7"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8"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199"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0"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1"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2"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3"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4"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5"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6"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7"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8"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09"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0"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1"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2"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3"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4"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5"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6"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7"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8"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19"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0"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1"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2"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3"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4"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5"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6"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7"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8"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29"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0"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1"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2"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3"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4"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5"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6"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7"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8"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39"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0"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1"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2"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3"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4"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5"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6"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7"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8"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49"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0"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1"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2"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3"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4"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5"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6"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7"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8"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59"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0"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1"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2"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3"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4"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5"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6"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7"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8"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69"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0"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1"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2"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3"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4"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5"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6"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7"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8"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79"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80"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81"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82"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5283"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84"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85"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86"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87"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88"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89"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90"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91"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92"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93"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294"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5295"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96"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97"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98"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299"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0"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1"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2"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3"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4"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5"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6"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7"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8"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09"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0"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1"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2"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3"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4"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5"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6"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7"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8"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19"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0"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1"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2"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3"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4"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5"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6"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7"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8"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29"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0"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1"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2"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3"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4"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5"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6"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7"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8"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39"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0"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1"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2"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3"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4"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5"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6"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7"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8"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49"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0"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1"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2"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3"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4"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5"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6"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7"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8"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59"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0"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1"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2"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3"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4"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5"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6"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7"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8"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69"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0"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1"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2"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3"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4"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5"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6"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7"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8"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79"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0"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1"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2"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3"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4"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5"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6"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7"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8"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89"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0"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1"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2"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3"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4"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5"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6"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7"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8"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399"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0"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1"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2"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3"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4"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5"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6"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7"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8"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09"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0"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1"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2"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3"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4"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5"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6"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7"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8"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19"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0"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1"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2"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3"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4"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5"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6"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7"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8"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29"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0"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1"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2"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3"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4"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5"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6"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7"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8"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39"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0" name="298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1" name="299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2" name="300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3" name="301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4" name="30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5" name="303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6" name="304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7" name="305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11</xdr:col>
      <xdr:colOff>0</xdr:colOff>
      <xdr:row>10</xdr:row>
      <xdr:rowOff>0</xdr:rowOff>
    </xdr:from>
    <xdr:ext cx="184731" cy="264560"/>
    <xdr:sp macro="" textlink="">
      <xdr:nvSpPr>
        <xdr:cNvPr id="5448" name="452 CuadroTexto"/>
        <xdr:cNvSpPr txBox="1"/>
      </xdr:nvSpPr>
      <xdr:spPr>
        <a:xfrm>
          <a:off x="1079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49" name="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97227" cy="217317"/>
    <xdr:sp macro="" textlink="">
      <xdr:nvSpPr>
        <xdr:cNvPr id="5450" name="9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1" name="9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2" name="92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3" name="93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4" name="94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5" name="95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6" name="96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7" name="97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8" name="98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59" name="99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60" name="100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97227" cy="217317"/>
    <xdr:sp macro="" textlink="">
      <xdr:nvSpPr>
        <xdr:cNvPr id="5461" name="101 CuadroTexto"/>
        <xdr:cNvSpPr txBox="1"/>
      </xdr:nvSpPr>
      <xdr:spPr>
        <a:xfrm>
          <a:off x="0" y="3105150"/>
          <a:ext cx="97227" cy="2173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a:p>
      </xdr:txBody>
    </xdr:sp>
    <xdr:clientData/>
  </xdr:oneCellAnchor>
  <xdr:oneCellAnchor>
    <xdr:from>
      <xdr:col>0</xdr:col>
      <xdr:colOff>0</xdr:colOff>
      <xdr:row>10</xdr:row>
      <xdr:rowOff>0</xdr:rowOff>
    </xdr:from>
    <xdr:ext cx="184731" cy="264560"/>
    <xdr:sp macro="" textlink="">
      <xdr:nvSpPr>
        <xdr:cNvPr id="5462" name="1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3" name="1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4" name="1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5" name="1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6" name="1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7" name="1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8" name="1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69" name="1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0" name="1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1" name="1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2" name="1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3" name="1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4" name="1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5" name="1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6" name="1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7" name="1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8" name="1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79" name="1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0" name="1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1" name="1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2" name="1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3" name="1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4" name="1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5" name="1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6" name="1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7" name="1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8" name="1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89" name="1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0" name="1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1" name="1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2" name="1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3" name="1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4" name="1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5" name="16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6" name="16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7" name="17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8" name="17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499" name="17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0" name="17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1" name="17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2" name="17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3" name="17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4" name="17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5" name="17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6" name="17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7" name="18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8" name="18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09" name="18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0" name="18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1" name="18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2" name="1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3" name="1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4" name="1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5" name="1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6" name="1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7" name="1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8" name="1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19" name="1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0" name="1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1" name="1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2" name="1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3" name="1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4" name="19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5" name="19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6" name="19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7" name="20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8" name="20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29" name="20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0" name="20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1" name="20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2" name="20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3" name="20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4" name="20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5" name="20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6" name="20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7" name="21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8" name="21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39" name="21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0" name="21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1" name="21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2" name="21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3" name="21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4" name="21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5" name="21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6" name="21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7" name="22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8" name="22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49" name="22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0" name="22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1" name="22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2" name="22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3" name="22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4" name="22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5" name="22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6" name="22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7" name="23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8" name="23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59" name="23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0" name="23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1" name="23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2" name="23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3" name="23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4" name="23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5" name="23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6" name="23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7" name="24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8" name="24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69" name="24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0" name="24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1" name="24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2" name="24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3" name="24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4" name="24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5" name="24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6" name="24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7" name="25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8" name="25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79" name="25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0" name="25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1" name="25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2" name="25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3" name="25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4" name="25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5" name="25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6" name="25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7" name="26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8" name="26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89" name="26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0" name="26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1" name="26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2" name="26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3" name="26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4" name="26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5" name="28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6" name="28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7" name="287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8" name="288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599" name="289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0" name="290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1" name="291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2" name="292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3" name="293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4" name="294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5" name="295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0</xdr:col>
      <xdr:colOff>0</xdr:colOff>
      <xdr:row>10</xdr:row>
      <xdr:rowOff>0</xdr:rowOff>
    </xdr:from>
    <xdr:ext cx="184731" cy="264560"/>
    <xdr:sp macro="" textlink="">
      <xdr:nvSpPr>
        <xdr:cNvPr id="5606" name="296 CuadroTexto"/>
        <xdr:cNvSpPr txBox="1"/>
      </xdr:nvSpPr>
      <xdr:spPr>
        <a:xfrm>
          <a:off x="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07" name="298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08" name="299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09" name="300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10" name="301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11" name="302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12" name="303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13" name="304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oneCellAnchor>
    <xdr:from>
      <xdr:col>16</xdr:col>
      <xdr:colOff>0</xdr:colOff>
      <xdr:row>10</xdr:row>
      <xdr:rowOff>0</xdr:rowOff>
    </xdr:from>
    <xdr:ext cx="184731" cy="264560"/>
    <xdr:sp macro="" textlink="">
      <xdr:nvSpPr>
        <xdr:cNvPr id="5614" name="305 CuadroTexto"/>
        <xdr:cNvSpPr txBox="1"/>
      </xdr:nvSpPr>
      <xdr:spPr>
        <a:xfrm>
          <a:off x="14601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MX" sz="1100"/>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3</xdr:col>
      <xdr:colOff>0</xdr:colOff>
      <xdr:row>3</xdr:row>
      <xdr:rowOff>142875</xdr:rowOff>
    </xdr:from>
    <xdr:ext cx="184731" cy="264560"/>
    <xdr:sp macro="" textlink="">
      <xdr:nvSpPr>
        <xdr:cNvPr id="5" name="4 CuadroTexto">
          <a:extLst>
            <a:ext uri="{FF2B5EF4-FFF2-40B4-BE49-F238E27FC236}">
              <a16:creationId xmlns:a16="http://schemas.microsoft.com/office/drawing/2014/main" id="{00000000-0008-0000-2100-000005000000}"/>
            </a:ext>
          </a:extLst>
        </xdr:cNvPr>
        <xdr:cNvSpPr txBox="1"/>
      </xdr:nvSpPr>
      <xdr:spPr>
        <a:xfrm>
          <a:off x="417195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57491</xdr:colOff>
      <xdr:row>30</xdr:row>
      <xdr:rowOff>0</xdr:rowOff>
    </xdr:from>
    <xdr:ext cx="3305175" cy="662517"/>
    <xdr:sp macro="" textlink="">
      <xdr:nvSpPr>
        <xdr:cNvPr id="11" name="CuadroTexto 5">
          <a:extLst>
            <a:ext uri="{FF2B5EF4-FFF2-40B4-BE49-F238E27FC236}">
              <a16:creationId xmlns:a16="http://schemas.microsoft.com/office/drawing/2014/main" id="{00000000-0008-0000-0100-000006000000}"/>
            </a:ext>
          </a:extLst>
        </xdr:cNvPr>
        <xdr:cNvSpPr txBox="1"/>
      </xdr:nvSpPr>
      <xdr:spPr>
        <a:xfrm>
          <a:off x="3076916" y="686752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19050</xdr:colOff>
      <xdr:row>30</xdr:row>
      <xdr:rowOff>0</xdr:rowOff>
    </xdr:from>
    <xdr:ext cx="3200400" cy="662517"/>
    <xdr:sp macro="" textlink="">
      <xdr:nvSpPr>
        <xdr:cNvPr id="9" name="CuadroTexto 5">
          <a:extLst>
            <a:ext uri="{FF2B5EF4-FFF2-40B4-BE49-F238E27FC236}">
              <a16:creationId xmlns:a16="http://schemas.microsoft.com/office/drawing/2014/main" id="{00000000-0008-0000-0100-000004000000}"/>
            </a:ext>
          </a:extLst>
        </xdr:cNvPr>
        <xdr:cNvSpPr txBox="1"/>
      </xdr:nvSpPr>
      <xdr:spPr>
        <a:xfrm>
          <a:off x="19050" y="686752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1</xdr:col>
      <xdr:colOff>3457916</xdr:colOff>
      <xdr:row>89</xdr:row>
      <xdr:rowOff>38100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3543641" y="1633537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123825</xdr:colOff>
      <xdr:row>89</xdr:row>
      <xdr:rowOff>38100</xdr:rowOff>
    </xdr:from>
    <xdr:ext cx="3200400" cy="662517"/>
    <xdr:sp macro="" textlink="">
      <xdr:nvSpPr>
        <xdr:cNvPr id="8" name="CuadroTexto 5">
          <a:extLst>
            <a:ext uri="{FF2B5EF4-FFF2-40B4-BE49-F238E27FC236}">
              <a16:creationId xmlns:a16="http://schemas.microsoft.com/office/drawing/2014/main" id="{00000000-0008-0000-0100-000004000000}"/>
            </a:ext>
          </a:extLst>
        </xdr:cNvPr>
        <xdr:cNvSpPr txBox="1"/>
      </xdr:nvSpPr>
      <xdr:spPr>
        <a:xfrm>
          <a:off x="209550" y="1633537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3</xdr:col>
      <xdr:colOff>0</xdr:colOff>
      <xdr:row>3</xdr:row>
      <xdr:rowOff>142875</xdr:rowOff>
    </xdr:from>
    <xdr:ext cx="184731" cy="264560"/>
    <xdr:sp macro="" textlink="">
      <xdr:nvSpPr>
        <xdr:cNvPr id="4" name="4 CuadroTexto">
          <a:extLst>
            <a:ext uri="{FF2B5EF4-FFF2-40B4-BE49-F238E27FC236}">
              <a16:creationId xmlns:a16="http://schemas.microsoft.com/office/drawing/2014/main" id="{00000000-0008-0000-2300-000004000000}"/>
            </a:ext>
          </a:extLst>
        </xdr:cNvPr>
        <xdr:cNvSpPr txBox="1"/>
      </xdr:nvSpPr>
      <xdr:spPr>
        <a:xfrm>
          <a:off x="4772025"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478712</xdr:colOff>
      <xdr:row>19</xdr:row>
      <xdr:rowOff>0</xdr:rowOff>
    </xdr:from>
    <xdr:ext cx="3305175" cy="662517"/>
    <xdr:sp macro="" textlink="">
      <xdr:nvSpPr>
        <xdr:cNvPr id="11" name="CuadroTexto 5">
          <a:extLst>
            <a:ext uri="{FF2B5EF4-FFF2-40B4-BE49-F238E27FC236}">
              <a16:creationId xmlns:a16="http://schemas.microsoft.com/office/drawing/2014/main" id="{00000000-0008-0000-0100-000006000000}"/>
            </a:ext>
          </a:extLst>
        </xdr:cNvPr>
        <xdr:cNvSpPr txBox="1"/>
      </xdr:nvSpPr>
      <xdr:spPr>
        <a:xfrm>
          <a:off x="3357379" y="5789083"/>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19</xdr:row>
      <xdr:rowOff>0</xdr:rowOff>
    </xdr:from>
    <xdr:ext cx="3200400" cy="662517"/>
    <xdr:sp macro="" textlink="">
      <xdr:nvSpPr>
        <xdr:cNvPr id="9" name="CuadroTexto 5">
          <a:extLst>
            <a:ext uri="{FF2B5EF4-FFF2-40B4-BE49-F238E27FC236}">
              <a16:creationId xmlns:a16="http://schemas.microsoft.com/office/drawing/2014/main" id="{00000000-0008-0000-0100-000004000000}"/>
            </a:ext>
          </a:extLst>
        </xdr:cNvPr>
        <xdr:cNvSpPr txBox="1"/>
      </xdr:nvSpPr>
      <xdr:spPr>
        <a:xfrm>
          <a:off x="190500" y="5789083"/>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6.xml><?xml version="1.0" encoding="utf-8"?>
<xdr:wsDr xmlns:xdr="http://schemas.openxmlformats.org/drawingml/2006/spreadsheetDrawing" xmlns:a="http://schemas.openxmlformats.org/drawingml/2006/main">
  <xdr:oneCellAnchor>
    <xdr:from>
      <xdr:col>1</xdr:col>
      <xdr:colOff>2071397</xdr:colOff>
      <xdr:row>525</xdr:row>
      <xdr:rowOff>0</xdr:rowOff>
    </xdr:from>
    <xdr:ext cx="3305175" cy="662517"/>
    <xdr:sp macro="" textlink="">
      <xdr:nvSpPr>
        <xdr:cNvPr id="7" name="CuadroTexto 5">
          <a:extLst>
            <a:ext uri="{FF2B5EF4-FFF2-40B4-BE49-F238E27FC236}">
              <a16:creationId xmlns:a16="http://schemas.microsoft.com/office/drawing/2014/main" id="{00000000-0008-0000-0100-000006000000}"/>
            </a:ext>
          </a:extLst>
        </xdr:cNvPr>
        <xdr:cNvSpPr txBox="1"/>
      </xdr:nvSpPr>
      <xdr:spPr>
        <a:xfrm>
          <a:off x="4003355" y="113024009"/>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143776</xdr:colOff>
      <xdr:row>525</xdr:row>
      <xdr:rowOff>0</xdr:rowOff>
    </xdr:from>
    <xdr:ext cx="3200400" cy="662517"/>
    <xdr:sp macro="" textlink="">
      <xdr:nvSpPr>
        <xdr:cNvPr id="8" name="CuadroTexto 5">
          <a:extLst>
            <a:ext uri="{FF2B5EF4-FFF2-40B4-BE49-F238E27FC236}">
              <a16:creationId xmlns:a16="http://schemas.microsoft.com/office/drawing/2014/main" id="{00000000-0008-0000-0100-000004000000}"/>
            </a:ext>
          </a:extLst>
        </xdr:cNvPr>
        <xdr:cNvSpPr txBox="1"/>
      </xdr:nvSpPr>
      <xdr:spPr>
        <a:xfrm>
          <a:off x="143776" y="113024009"/>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1630509</xdr:colOff>
      <xdr:row>37</xdr:row>
      <xdr:rowOff>0</xdr:rowOff>
    </xdr:to>
    <xdr:pic>
      <xdr:nvPicPr>
        <xdr:cNvPr id="2" name="Imagen 1">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40509" cy="704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oneCellAnchor>
    <xdr:from>
      <xdr:col>4</xdr:col>
      <xdr:colOff>197909</xdr:colOff>
      <xdr:row>0</xdr:row>
      <xdr:rowOff>0</xdr:rowOff>
    </xdr:from>
    <xdr:ext cx="1222708" cy="257174"/>
    <xdr:sp macro="" textlink="">
      <xdr:nvSpPr>
        <xdr:cNvPr id="2" name="1 CuadroTexto">
          <a:extLst>
            <a:ext uri="{FF2B5EF4-FFF2-40B4-BE49-F238E27FC236}">
              <a16:creationId xmlns:a16="http://schemas.microsoft.com/office/drawing/2014/main" id="{00000000-0008-0000-2300-000003000000}"/>
            </a:ext>
          </a:extLst>
        </xdr:cNvPr>
        <xdr:cNvSpPr txBox="1"/>
      </xdr:nvSpPr>
      <xdr:spPr>
        <a:xfrm>
          <a:off x="5489576" y="0"/>
          <a:ext cx="1222708" cy="25717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b">
          <a:noAutofit/>
        </a:bodyPr>
        <a:lstStyle/>
        <a:p>
          <a:pPr algn="r"/>
          <a:r>
            <a:rPr lang="es-MX" sz="1100" b="1">
              <a:latin typeface="Arial" pitchFamily="34" charset="0"/>
              <a:cs typeface="Arial" pitchFamily="34" charset="0"/>
            </a:rPr>
            <a:t>Anexo B</a:t>
          </a:r>
        </a:p>
      </xdr:txBody>
    </xdr:sp>
    <xdr:clientData/>
  </xdr:oneCellAnchor>
  <xdr:oneCellAnchor>
    <xdr:from>
      <xdr:col>4</xdr:col>
      <xdr:colOff>0</xdr:colOff>
      <xdr:row>3</xdr:row>
      <xdr:rowOff>142875</xdr:rowOff>
    </xdr:from>
    <xdr:ext cx="184731" cy="264560"/>
    <xdr:sp macro="" textlink="">
      <xdr:nvSpPr>
        <xdr:cNvPr id="3" name="4 CuadroTexto">
          <a:extLst>
            <a:ext uri="{FF2B5EF4-FFF2-40B4-BE49-F238E27FC236}">
              <a16:creationId xmlns:a16="http://schemas.microsoft.com/office/drawing/2014/main" id="{00000000-0008-0000-2300-000004000000}"/>
            </a:ext>
          </a:extLst>
        </xdr:cNvPr>
        <xdr:cNvSpPr txBox="1"/>
      </xdr:nvSpPr>
      <xdr:spPr>
        <a:xfrm>
          <a:off x="3009900" y="7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219075</xdr:colOff>
      <xdr:row>77</xdr:row>
      <xdr:rowOff>0</xdr:rowOff>
    </xdr:from>
    <xdr:ext cx="1222708" cy="257174"/>
    <xdr:sp macro="" textlink="">
      <xdr:nvSpPr>
        <xdr:cNvPr id="7" name="6 CuadroTexto">
          <a:extLst>
            <a:ext uri="{FF2B5EF4-FFF2-40B4-BE49-F238E27FC236}">
              <a16:creationId xmlns:a16="http://schemas.microsoft.com/office/drawing/2014/main" id="{00000000-0008-0000-2300-000003000000}"/>
            </a:ext>
          </a:extLst>
        </xdr:cNvPr>
        <xdr:cNvSpPr txBox="1"/>
      </xdr:nvSpPr>
      <xdr:spPr>
        <a:xfrm>
          <a:off x="3228975" y="14668500"/>
          <a:ext cx="1222708" cy="25717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b">
          <a:noAutofit/>
        </a:bodyPr>
        <a:lstStyle/>
        <a:p>
          <a:pPr algn="r"/>
          <a:endParaRPr lang="es-MX" sz="1100" b="1" baseline="0">
            <a:latin typeface="Arial" pitchFamily="34" charset="0"/>
            <a:cs typeface="Arial" pitchFamily="34" charset="0"/>
          </a:endParaRPr>
        </a:p>
        <a:p>
          <a:pPr algn="r"/>
          <a:endParaRPr lang="es-MX" sz="1100" b="1" baseline="0">
            <a:latin typeface="Arial" pitchFamily="34" charset="0"/>
            <a:cs typeface="Arial" pitchFamily="34" charset="0"/>
          </a:endParaRPr>
        </a:p>
        <a:p>
          <a:pPr algn="r"/>
          <a:endParaRPr lang="es-MX" sz="1100" b="1" baseline="0">
            <a:latin typeface="Arial" pitchFamily="34" charset="0"/>
            <a:cs typeface="Arial" pitchFamily="34" charset="0"/>
          </a:endParaRPr>
        </a:p>
        <a:p>
          <a:pPr algn="r"/>
          <a:endParaRPr lang="es-MX" sz="1100" b="1">
            <a:latin typeface="Arial" pitchFamily="34" charset="0"/>
            <a:cs typeface="Arial" pitchFamily="34" charset="0"/>
          </a:endParaRPr>
        </a:p>
      </xdr:txBody>
    </xdr:sp>
    <xdr:clientData/>
  </xdr:oneCellAnchor>
  <xdr:oneCellAnchor>
    <xdr:from>
      <xdr:col>4</xdr:col>
      <xdr:colOff>0</xdr:colOff>
      <xdr:row>35</xdr:row>
      <xdr:rowOff>0</xdr:rowOff>
    </xdr:from>
    <xdr:ext cx="184731" cy="264560"/>
    <xdr:sp macro="" textlink="">
      <xdr:nvSpPr>
        <xdr:cNvPr id="8" name="4 CuadroTexto">
          <a:extLst>
            <a:ext uri="{FF2B5EF4-FFF2-40B4-BE49-F238E27FC236}">
              <a16:creationId xmlns:a16="http://schemas.microsoft.com/office/drawing/2014/main" id="{00000000-0008-0000-2300-000004000000}"/>
            </a:ext>
          </a:extLst>
        </xdr:cNvPr>
        <xdr:cNvSpPr txBox="1"/>
      </xdr:nvSpPr>
      <xdr:spPr>
        <a:xfrm>
          <a:off x="3009900"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0</xdr:colOff>
      <xdr:row>49</xdr:row>
      <xdr:rowOff>0</xdr:rowOff>
    </xdr:from>
    <xdr:ext cx="184731" cy="264560"/>
    <xdr:sp macro="" textlink="">
      <xdr:nvSpPr>
        <xdr:cNvPr id="9" name="4 CuadroTexto">
          <a:extLst>
            <a:ext uri="{FF2B5EF4-FFF2-40B4-BE49-F238E27FC236}">
              <a16:creationId xmlns:a16="http://schemas.microsoft.com/office/drawing/2014/main" id="{00000000-0008-0000-2300-000004000000}"/>
            </a:ext>
          </a:extLst>
        </xdr:cNvPr>
        <xdr:cNvSpPr txBox="1"/>
      </xdr:nvSpPr>
      <xdr:spPr>
        <a:xfrm>
          <a:off x="3009900" y="91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0</xdr:colOff>
      <xdr:row>63</xdr:row>
      <xdr:rowOff>0</xdr:rowOff>
    </xdr:from>
    <xdr:ext cx="184731" cy="264560"/>
    <xdr:sp macro="" textlink="">
      <xdr:nvSpPr>
        <xdr:cNvPr id="10" name="4 CuadroTexto">
          <a:extLst>
            <a:ext uri="{FF2B5EF4-FFF2-40B4-BE49-F238E27FC236}">
              <a16:creationId xmlns:a16="http://schemas.microsoft.com/office/drawing/2014/main" id="{00000000-0008-0000-2300-000004000000}"/>
            </a:ext>
          </a:extLst>
        </xdr:cNvPr>
        <xdr:cNvSpPr txBox="1"/>
      </xdr:nvSpPr>
      <xdr:spPr>
        <a:xfrm>
          <a:off x="3009900"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4</xdr:col>
      <xdr:colOff>219075</xdr:colOff>
      <xdr:row>32</xdr:row>
      <xdr:rowOff>0</xdr:rowOff>
    </xdr:from>
    <xdr:ext cx="1222708" cy="257174"/>
    <xdr:sp macro="" textlink="">
      <xdr:nvSpPr>
        <xdr:cNvPr id="11" name="6 CuadroTexto">
          <a:extLst>
            <a:ext uri="{FF2B5EF4-FFF2-40B4-BE49-F238E27FC236}">
              <a16:creationId xmlns:a16="http://schemas.microsoft.com/office/drawing/2014/main" id="{00000000-0008-0000-2300-000003000000}"/>
            </a:ext>
          </a:extLst>
        </xdr:cNvPr>
        <xdr:cNvSpPr txBox="1"/>
      </xdr:nvSpPr>
      <xdr:spPr>
        <a:xfrm>
          <a:off x="5510742" y="21452417"/>
          <a:ext cx="1222708" cy="25717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b">
          <a:noAutofit/>
        </a:bodyPr>
        <a:lstStyle/>
        <a:p>
          <a:pPr algn="r"/>
          <a:endParaRPr lang="es-MX" sz="1100" b="1" baseline="0">
            <a:latin typeface="Arial" pitchFamily="34" charset="0"/>
            <a:cs typeface="Arial" pitchFamily="34" charset="0"/>
          </a:endParaRPr>
        </a:p>
        <a:p>
          <a:pPr algn="r"/>
          <a:endParaRPr lang="es-MX" sz="1100" b="1" baseline="0">
            <a:latin typeface="Arial" pitchFamily="34" charset="0"/>
            <a:cs typeface="Arial" pitchFamily="34" charset="0"/>
          </a:endParaRPr>
        </a:p>
        <a:p>
          <a:pPr algn="r"/>
          <a:endParaRPr lang="es-MX" sz="1100" b="1" baseline="0">
            <a:latin typeface="Arial" pitchFamily="34" charset="0"/>
            <a:cs typeface="Arial" pitchFamily="34" charset="0"/>
          </a:endParaRPr>
        </a:p>
        <a:p>
          <a:pPr algn="r"/>
          <a:endParaRPr lang="es-MX" sz="1100" b="1">
            <a:latin typeface="Arial" pitchFamily="34" charset="0"/>
            <a:cs typeface="Arial" pitchFamily="34" charset="0"/>
          </a:endParaRPr>
        </a:p>
      </xdr:txBody>
    </xdr:sp>
    <xdr:clientData/>
  </xdr:oneCellAnchor>
  <xdr:oneCellAnchor>
    <xdr:from>
      <xdr:col>2</xdr:col>
      <xdr:colOff>1286216</xdr:colOff>
      <xdr:row>78</xdr:row>
      <xdr:rowOff>161925</xdr:rowOff>
    </xdr:from>
    <xdr:ext cx="3305175" cy="662517"/>
    <xdr:sp macro="" textlink="">
      <xdr:nvSpPr>
        <xdr:cNvPr id="15" name="CuadroTexto 5">
          <a:extLst>
            <a:ext uri="{FF2B5EF4-FFF2-40B4-BE49-F238E27FC236}">
              <a16:creationId xmlns:a16="http://schemas.microsoft.com/office/drawing/2014/main" id="{00000000-0008-0000-0100-000006000000}"/>
            </a:ext>
          </a:extLst>
        </xdr:cNvPr>
        <xdr:cNvSpPr txBox="1"/>
      </xdr:nvSpPr>
      <xdr:spPr>
        <a:xfrm>
          <a:off x="3448391" y="2147887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152400</xdr:colOff>
      <xdr:row>78</xdr:row>
      <xdr:rowOff>161925</xdr:rowOff>
    </xdr:from>
    <xdr:ext cx="3200400" cy="662517"/>
    <xdr:sp macro="" textlink="">
      <xdr:nvSpPr>
        <xdr:cNvPr id="12" name="CuadroTexto 5">
          <a:extLst>
            <a:ext uri="{FF2B5EF4-FFF2-40B4-BE49-F238E27FC236}">
              <a16:creationId xmlns:a16="http://schemas.microsoft.com/office/drawing/2014/main" id="{00000000-0008-0000-0100-000004000000}"/>
            </a:ext>
          </a:extLst>
        </xdr:cNvPr>
        <xdr:cNvSpPr txBox="1"/>
      </xdr:nvSpPr>
      <xdr:spPr>
        <a:xfrm>
          <a:off x="152400" y="2147887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699868</xdr:colOff>
      <xdr:row>43</xdr:row>
      <xdr:rowOff>0</xdr:rowOff>
    </xdr:from>
    <xdr:ext cx="3305175" cy="662517"/>
    <xdr:sp macro="" textlink="">
      <xdr:nvSpPr>
        <xdr:cNvPr id="9" name="CuadroTexto 5">
          <a:extLst>
            <a:ext uri="{FF2B5EF4-FFF2-40B4-BE49-F238E27FC236}">
              <a16:creationId xmlns:a16="http://schemas.microsoft.com/office/drawing/2014/main" id="{00000000-0008-0000-0100-000006000000}"/>
            </a:ext>
          </a:extLst>
        </xdr:cNvPr>
        <xdr:cNvSpPr txBox="1"/>
      </xdr:nvSpPr>
      <xdr:spPr>
        <a:xfrm>
          <a:off x="4769004" y="9959228"/>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43</xdr:row>
      <xdr:rowOff>0</xdr:rowOff>
    </xdr:from>
    <xdr:ext cx="3200400" cy="662517"/>
    <xdr:sp macro="" textlink="">
      <xdr:nvSpPr>
        <xdr:cNvPr id="6" name="CuadroTexto 5">
          <a:extLst>
            <a:ext uri="{FF2B5EF4-FFF2-40B4-BE49-F238E27FC236}">
              <a16:creationId xmlns:a16="http://schemas.microsoft.com/office/drawing/2014/main" id="{00000000-0008-0000-0100-000004000000}"/>
            </a:ext>
          </a:extLst>
        </xdr:cNvPr>
        <xdr:cNvSpPr txBox="1"/>
      </xdr:nvSpPr>
      <xdr:spPr>
        <a:xfrm>
          <a:off x="0" y="9959228"/>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3</xdr:row>
      <xdr:rowOff>142875</xdr:rowOff>
    </xdr:from>
    <xdr:ext cx="184731" cy="264560"/>
    <xdr:sp macro="" textlink="">
      <xdr:nvSpPr>
        <xdr:cNvPr id="2" name="4 CuadroTexto">
          <a:extLst>
            <a:ext uri="{FF2B5EF4-FFF2-40B4-BE49-F238E27FC236}">
              <a16:creationId xmlns:a16="http://schemas.microsoft.com/office/drawing/2014/main" id="{00000000-0008-0000-0500-000005000000}"/>
            </a:ext>
          </a:extLst>
        </xdr:cNvPr>
        <xdr:cNvSpPr txBox="1"/>
      </xdr:nvSpPr>
      <xdr:spPr>
        <a:xfrm>
          <a:off x="5391150"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1</xdr:col>
      <xdr:colOff>200025</xdr:colOff>
      <xdr:row>3</xdr:row>
      <xdr:rowOff>142875</xdr:rowOff>
    </xdr:from>
    <xdr:ext cx="184731" cy="264560"/>
    <xdr:sp macro="" textlink="">
      <xdr:nvSpPr>
        <xdr:cNvPr id="4" name="1 CuadroTexto">
          <a:extLst>
            <a:ext uri="{FF2B5EF4-FFF2-40B4-BE49-F238E27FC236}">
              <a16:creationId xmlns:a16="http://schemas.microsoft.com/office/drawing/2014/main" id="{00000000-0008-0000-0500-000006000000}"/>
            </a:ext>
          </a:extLst>
        </xdr:cNvPr>
        <xdr:cNvSpPr txBox="1"/>
      </xdr:nvSpPr>
      <xdr:spPr>
        <a:xfrm>
          <a:off x="5591175" y="75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0</xdr:col>
      <xdr:colOff>4256964</xdr:colOff>
      <xdr:row>64</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4256964" y="11271250"/>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0</xdr:colOff>
      <xdr:row>63</xdr:row>
      <xdr:rowOff>148166</xdr:rowOff>
    </xdr:from>
    <xdr:ext cx="3200400" cy="662517"/>
    <xdr:sp macro="" textlink="">
      <xdr:nvSpPr>
        <xdr:cNvPr id="11" name="CuadroTexto 5">
          <a:extLst>
            <a:ext uri="{FF2B5EF4-FFF2-40B4-BE49-F238E27FC236}">
              <a16:creationId xmlns:a16="http://schemas.microsoft.com/office/drawing/2014/main" id="{00000000-0008-0000-0100-000004000000}"/>
            </a:ext>
          </a:extLst>
        </xdr:cNvPr>
        <xdr:cNvSpPr txBox="1"/>
      </xdr:nvSpPr>
      <xdr:spPr>
        <a:xfrm>
          <a:off x="0" y="11250083"/>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3168895</xdr:colOff>
      <xdr:row>65</xdr:row>
      <xdr:rowOff>143527</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3273279" y="9381472"/>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65</xdr:row>
      <xdr:rowOff>143528</xdr:rowOff>
    </xdr:from>
    <xdr:ext cx="3200400" cy="662517"/>
    <xdr:sp macro="" textlink="">
      <xdr:nvSpPr>
        <xdr:cNvPr id="8" name="CuadroTexto 5">
          <a:extLst>
            <a:ext uri="{FF2B5EF4-FFF2-40B4-BE49-F238E27FC236}">
              <a16:creationId xmlns:a16="http://schemas.microsoft.com/office/drawing/2014/main" id="{00000000-0008-0000-0100-000004000000}"/>
            </a:ext>
          </a:extLst>
        </xdr:cNvPr>
        <xdr:cNvSpPr txBox="1"/>
      </xdr:nvSpPr>
      <xdr:spPr>
        <a:xfrm>
          <a:off x="104384" y="9381473"/>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5</xdr:col>
      <xdr:colOff>0</xdr:colOff>
      <xdr:row>3</xdr:row>
      <xdr:rowOff>142875</xdr:rowOff>
    </xdr:from>
    <xdr:ext cx="184731" cy="264560"/>
    <xdr:sp macro="" textlink="">
      <xdr:nvSpPr>
        <xdr:cNvPr id="6" name="4 CuadroTexto">
          <a:extLst>
            <a:ext uri="{FF2B5EF4-FFF2-40B4-BE49-F238E27FC236}">
              <a16:creationId xmlns:a16="http://schemas.microsoft.com/office/drawing/2014/main" id="{00000000-0008-0000-0700-000006000000}"/>
            </a:ext>
          </a:extLst>
        </xdr:cNvPr>
        <xdr:cNvSpPr txBox="1"/>
      </xdr:nvSpPr>
      <xdr:spPr>
        <a:xfrm>
          <a:off x="5572125"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3</xdr:col>
      <xdr:colOff>86066</xdr:colOff>
      <xdr:row>30</xdr:row>
      <xdr:rowOff>0</xdr:rowOff>
    </xdr:from>
    <xdr:ext cx="3305175" cy="662517"/>
    <xdr:sp macro="" textlink="">
      <xdr:nvSpPr>
        <xdr:cNvPr id="8" name="CuadroTexto 5">
          <a:extLst>
            <a:ext uri="{FF2B5EF4-FFF2-40B4-BE49-F238E27FC236}">
              <a16:creationId xmlns:a16="http://schemas.microsoft.com/office/drawing/2014/main" id="{00000000-0008-0000-0100-000006000000}"/>
            </a:ext>
          </a:extLst>
        </xdr:cNvPr>
        <xdr:cNvSpPr txBox="1"/>
      </xdr:nvSpPr>
      <xdr:spPr>
        <a:xfrm>
          <a:off x="3172166" y="8029575"/>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30</xdr:row>
      <xdr:rowOff>0</xdr:rowOff>
    </xdr:from>
    <xdr:ext cx="3200400" cy="662517"/>
    <xdr:sp macro="" textlink="">
      <xdr:nvSpPr>
        <xdr:cNvPr id="10" name="CuadroTexto 5">
          <a:extLst>
            <a:ext uri="{FF2B5EF4-FFF2-40B4-BE49-F238E27FC236}">
              <a16:creationId xmlns:a16="http://schemas.microsoft.com/office/drawing/2014/main" id="{00000000-0008-0000-0100-000004000000}"/>
            </a:ext>
          </a:extLst>
        </xdr:cNvPr>
        <xdr:cNvSpPr txBox="1"/>
      </xdr:nvSpPr>
      <xdr:spPr>
        <a:xfrm>
          <a:off x="85725" y="8029575"/>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3</xdr:row>
      <xdr:rowOff>142875</xdr:rowOff>
    </xdr:from>
    <xdr:ext cx="184731" cy="264560"/>
    <xdr:sp macro="" textlink="">
      <xdr:nvSpPr>
        <xdr:cNvPr id="3" name="4 CuadroTexto">
          <a:extLst>
            <a:ext uri="{FF2B5EF4-FFF2-40B4-BE49-F238E27FC236}">
              <a16:creationId xmlns:a16="http://schemas.microsoft.com/office/drawing/2014/main" id="{00000000-0008-0000-0800-000006000000}"/>
            </a:ext>
          </a:extLst>
        </xdr:cNvPr>
        <xdr:cNvSpPr txBox="1"/>
      </xdr:nvSpPr>
      <xdr:spPr>
        <a:xfrm>
          <a:off x="4257675"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oneCellAnchor>
    <xdr:from>
      <xdr:col>2</xdr:col>
      <xdr:colOff>1103127</xdr:colOff>
      <xdr:row>42</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3135127" y="8868833"/>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0</xdr:col>
      <xdr:colOff>31750</xdr:colOff>
      <xdr:row>42</xdr:row>
      <xdr:rowOff>5</xdr:rowOff>
    </xdr:from>
    <xdr:ext cx="3200400" cy="662517"/>
    <xdr:sp macro="" textlink="">
      <xdr:nvSpPr>
        <xdr:cNvPr id="7" name="CuadroTexto 5">
          <a:extLst>
            <a:ext uri="{FF2B5EF4-FFF2-40B4-BE49-F238E27FC236}">
              <a16:creationId xmlns:a16="http://schemas.microsoft.com/office/drawing/2014/main" id="{00000000-0008-0000-0100-000004000000}"/>
            </a:ext>
          </a:extLst>
        </xdr:cNvPr>
        <xdr:cNvSpPr txBox="1"/>
      </xdr:nvSpPr>
      <xdr:spPr>
        <a:xfrm>
          <a:off x="31750" y="8868838"/>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4</xdr:col>
      <xdr:colOff>708657</xdr:colOff>
      <xdr:row>39</xdr:row>
      <xdr:rowOff>0</xdr:rowOff>
    </xdr:from>
    <xdr:ext cx="3305175" cy="662517"/>
    <xdr:sp macro="" textlink="">
      <xdr:nvSpPr>
        <xdr:cNvPr id="10" name="CuadroTexto 5">
          <a:extLst>
            <a:ext uri="{FF2B5EF4-FFF2-40B4-BE49-F238E27FC236}">
              <a16:creationId xmlns:a16="http://schemas.microsoft.com/office/drawing/2014/main" id="{00000000-0008-0000-0100-000006000000}"/>
            </a:ext>
          </a:extLst>
        </xdr:cNvPr>
        <xdr:cNvSpPr txBox="1"/>
      </xdr:nvSpPr>
      <xdr:spPr>
        <a:xfrm>
          <a:off x="4700498" y="7897091"/>
          <a:ext cx="3305175"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LIC. TIRSO AMANTE JEREZ</a:t>
          </a:r>
          <a:endParaRPr lang="es-MX" sz="1200" baseline="0"/>
        </a:p>
        <a:p>
          <a:pPr algn="ctr"/>
          <a:r>
            <a:rPr lang="es-MX" sz="1200" baseline="0"/>
            <a:t>DIRECTOR GENERAL</a:t>
          </a:r>
          <a:endParaRPr lang="es-MX" sz="1200"/>
        </a:p>
      </xdr:txBody>
    </xdr:sp>
    <xdr:clientData/>
  </xdr:oneCellAnchor>
  <xdr:oneCellAnchor>
    <xdr:from>
      <xdr:col>1</xdr:col>
      <xdr:colOff>0</xdr:colOff>
      <xdr:row>39</xdr:row>
      <xdr:rowOff>0</xdr:rowOff>
    </xdr:from>
    <xdr:ext cx="3200400" cy="662517"/>
    <xdr:sp macro="" textlink="">
      <xdr:nvSpPr>
        <xdr:cNvPr id="7" name="CuadroTexto 5">
          <a:extLst>
            <a:ext uri="{FF2B5EF4-FFF2-40B4-BE49-F238E27FC236}">
              <a16:creationId xmlns:a16="http://schemas.microsoft.com/office/drawing/2014/main" id="{00000000-0008-0000-0100-000004000000}"/>
            </a:ext>
          </a:extLst>
        </xdr:cNvPr>
        <xdr:cNvSpPr txBox="1"/>
      </xdr:nvSpPr>
      <xdr:spPr>
        <a:xfrm>
          <a:off x="311727" y="7897091"/>
          <a:ext cx="3200400" cy="662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MX" sz="1200"/>
            <a:t>______________________________________</a:t>
          </a:r>
        </a:p>
        <a:p>
          <a:pPr algn="ctr"/>
          <a:r>
            <a:rPr lang="es-MX" sz="1200"/>
            <a:t>C. MARIA DEL CARMEN LUGO CORRALES</a:t>
          </a:r>
        </a:p>
        <a:p>
          <a:pPr algn="ctr"/>
          <a:r>
            <a:rPr lang="es-MX" sz="1200"/>
            <a:t>DIRECTORA</a:t>
          </a:r>
          <a:r>
            <a:rPr lang="es-MX" sz="1200" baseline="0"/>
            <a:t> DE ADMINISTRACÓN</a:t>
          </a:r>
          <a:endParaRPr lang="es-MX" sz="12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merica%20Encinas\AppData\Roaming\Microsoft\Excel\PT%20Gastos%20x%20partida%20ppt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America%20Encinas\AppData\Roaming\Microsoft\Excel\PT%20Gastos%20x%20partida%20ppt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AA\RADIO%20SONORA\2020\INFORME%20TRIMESTRAL\TERCER%20TRIMESTRE\actualizacion-formatos-etca-ejercico-2020-y-etca-iv-06-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s>
    <sheetDataSet>
      <sheetData sheetId="0"/>
      <sheetData sheetId="1">
        <row r="3">
          <cell r="B3" t="str">
            <v xml:space="preserve"> PARTIDA PRESUPUESTAL</v>
          </cell>
          <cell r="C3" t="str">
            <v>DESCRIPCION</v>
          </cell>
          <cell r="D3" t="str">
            <v>PRESUPUESTO AUTORIZADO</v>
          </cell>
          <cell r="E3">
            <v>0</v>
          </cell>
          <cell r="F3">
            <v>0</v>
          </cell>
          <cell r="G3">
            <v>0</v>
          </cell>
          <cell r="H3" t="str">
            <v>COMPROMETIDO</v>
          </cell>
          <cell r="I3" t="str">
            <v>DEVENGADO</v>
          </cell>
          <cell r="J3" t="str">
            <v>EJERCIDO</v>
          </cell>
          <cell r="K3" t="str">
            <v>PAGADO</v>
          </cell>
          <cell r="L3" t="str">
            <v>DISPONIBLE P Comprometer</v>
          </cell>
          <cell r="M3" t="str">
            <v>CREDITO DISPONIBLE</v>
          </cell>
        </row>
        <row r="4">
          <cell r="B4">
            <v>0</v>
          </cell>
          <cell r="C4">
            <v>0</v>
          </cell>
          <cell r="D4" t="str">
            <v>APROBADO</v>
          </cell>
          <cell r="E4" t="str">
            <v>AMPLIACIONES</v>
          </cell>
          <cell r="F4" t="str">
            <v>DEDUCCIONES</v>
          </cell>
          <cell r="G4" t="str">
            <v>MODIFICADO</v>
          </cell>
          <cell r="H4">
            <v>0</v>
          </cell>
          <cell r="I4">
            <v>0</v>
          </cell>
          <cell r="J4">
            <v>0</v>
          </cell>
          <cell r="K4">
            <v>0</v>
          </cell>
          <cell r="L4">
            <v>0</v>
          </cell>
          <cell r="M4">
            <v>0</v>
          </cell>
        </row>
        <row r="5">
          <cell r="B5">
            <v>1000</v>
          </cell>
          <cell r="C5" t="str">
            <v>SERVICIOS PERSONALES</v>
          </cell>
          <cell r="D5">
            <v>21474408.129999995</v>
          </cell>
          <cell r="E5">
            <v>0</v>
          </cell>
          <cell r="F5">
            <v>0</v>
          </cell>
          <cell r="G5">
            <v>21474408.129999995</v>
          </cell>
          <cell r="H5">
            <v>20532256.680000003</v>
          </cell>
          <cell r="I5">
            <v>20532256.680000003</v>
          </cell>
          <cell r="J5">
            <v>20532256.680000003</v>
          </cell>
          <cell r="K5">
            <v>20532256.680000003</v>
          </cell>
          <cell r="L5">
            <v>942151.45000000019</v>
          </cell>
          <cell r="M5">
            <v>942151.45000000019</v>
          </cell>
        </row>
        <row r="6">
          <cell r="B6" t="str">
            <v>11301</v>
          </cell>
          <cell r="C6" t="str">
            <v>Sueldos</v>
          </cell>
          <cell r="D6">
            <v>5444965.6600000001</v>
          </cell>
          <cell r="E6">
            <v>0</v>
          </cell>
          <cell r="F6">
            <v>0</v>
          </cell>
          <cell r="G6">
            <v>5444965.6600000001</v>
          </cell>
          <cell r="H6">
            <v>5349218.26</v>
          </cell>
          <cell r="I6">
            <v>5349218.26</v>
          </cell>
          <cell r="J6">
            <v>5349218.26</v>
          </cell>
          <cell r="K6">
            <v>5349218.26</v>
          </cell>
          <cell r="L6">
            <v>95747.400000000373</v>
          </cell>
          <cell r="M6">
            <v>95747.400000000373</v>
          </cell>
        </row>
        <row r="7">
          <cell r="B7" t="str">
            <v>11303</v>
          </cell>
          <cell r="C7" t="str">
            <v>Remuneraciones Diversas</v>
          </cell>
          <cell r="D7">
            <v>1804239.54</v>
          </cell>
          <cell r="E7">
            <v>0</v>
          </cell>
          <cell r="F7">
            <v>0</v>
          </cell>
          <cell r="G7">
            <v>1804239.54</v>
          </cell>
          <cell r="H7">
            <v>1718192.7000000007</v>
          </cell>
          <cell r="I7">
            <v>1718192.7000000007</v>
          </cell>
          <cell r="J7">
            <v>1718192.7000000007</v>
          </cell>
          <cell r="K7">
            <v>1718192.7000000007</v>
          </cell>
          <cell r="L7">
            <v>86046.839999999385</v>
          </cell>
          <cell r="M7">
            <v>86046.839999999385</v>
          </cell>
        </row>
        <row r="8">
          <cell r="B8" t="str">
            <v>11305</v>
          </cell>
          <cell r="C8" t="str">
            <v>Compensaciones por Riesgos Profesionales</v>
          </cell>
          <cell r="D8">
            <v>0</v>
          </cell>
          <cell r="E8">
            <v>0</v>
          </cell>
          <cell r="F8">
            <v>0</v>
          </cell>
          <cell r="G8">
            <v>0</v>
          </cell>
          <cell r="H8">
            <v>0</v>
          </cell>
          <cell r="I8">
            <v>0</v>
          </cell>
          <cell r="J8">
            <v>0</v>
          </cell>
          <cell r="K8">
            <v>0</v>
          </cell>
          <cell r="L8">
            <v>0</v>
          </cell>
          <cell r="M8">
            <v>0</v>
          </cell>
        </row>
        <row r="9">
          <cell r="B9" t="str">
            <v>11306</v>
          </cell>
          <cell r="C9" t="str">
            <v>Riesgo Laboral</v>
          </cell>
          <cell r="D9">
            <v>4423021.57</v>
          </cell>
          <cell r="E9">
            <v>0</v>
          </cell>
          <cell r="F9">
            <v>0</v>
          </cell>
          <cell r="G9">
            <v>4423021.57</v>
          </cell>
          <cell r="H9">
            <v>5656271.3399999999</v>
          </cell>
          <cell r="I9">
            <v>5656271.3399999999</v>
          </cell>
          <cell r="J9">
            <v>5656271.3399999999</v>
          </cell>
          <cell r="K9">
            <v>5656271.3399999999</v>
          </cell>
          <cell r="L9">
            <v>-1233249.7699999996</v>
          </cell>
          <cell r="M9">
            <v>-1233249.7699999996</v>
          </cell>
        </row>
        <row r="10">
          <cell r="B10" t="str">
            <v>11307</v>
          </cell>
          <cell r="C10" t="str">
            <v>Ayuda Para Habitación</v>
          </cell>
          <cell r="D10">
            <v>1125296.6499999999</v>
          </cell>
          <cell r="E10">
            <v>0</v>
          </cell>
          <cell r="F10">
            <v>0</v>
          </cell>
          <cell r="G10">
            <v>1125296.6499999999</v>
          </cell>
          <cell r="H10">
            <v>1013033.58</v>
          </cell>
          <cell r="I10">
            <v>1013033.58</v>
          </cell>
          <cell r="J10">
            <v>1013033.58</v>
          </cell>
          <cell r="K10">
            <v>1013033.58</v>
          </cell>
          <cell r="L10">
            <v>112263.06999999995</v>
          </cell>
          <cell r="M10">
            <v>112263.06999999995</v>
          </cell>
        </row>
        <row r="11">
          <cell r="B11" t="str">
            <v>11310</v>
          </cell>
          <cell r="C11" t="str">
            <v>Ayuda Energía Electrica</v>
          </cell>
          <cell r="D11">
            <v>750198.79</v>
          </cell>
          <cell r="E11">
            <v>0</v>
          </cell>
          <cell r="F11">
            <v>0</v>
          </cell>
          <cell r="G11">
            <v>750198.79</v>
          </cell>
          <cell r="H11">
            <v>675356.80999999994</v>
          </cell>
          <cell r="I11">
            <v>675356.80999999994</v>
          </cell>
          <cell r="J11">
            <v>675356.80999999994</v>
          </cell>
          <cell r="K11">
            <v>675356.80999999994</v>
          </cell>
          <cell r="L11">
            <v>74841.980000000098</v>
          </cell>
          <cell r="M11">
            <v>74841.980000000098</v>
          </cell>
        </row>
        <row r="12">
          <cell r="B12" t="str">
            <v>13101</v>
          </cell>
          <cell r="C12" t="str">
            <v>Primas y Acred por Años de Servicio Eftvo Prestado</v>
          </cell>
          <cell r="D12">
            <v>175274.27</v>
          </cell>
          <cell r="E12">
            <v>0</v>
          </cell>
          <cell r="F12">
            <v>0</v>
          </cell>
          <cell r="G12">
            <v>175274.27</v>
          </cell>
          <cell r="H12">
            <v>55039.150000000009</v>
          </cell>
          <cell r="I12">
            <v>55039.150000000009</v>
          </cell>
          <cell r="J12">
            <v>55039.150000000009</v>
          </cell>
          <cell r="K12">
            <v>55039.150000000009</v>
          </cell>
          <cell r="L12">
            <v>120235.11999999998</v>
          </cell>
          <cell r="M12">
            <v>120235.11999999998</v>
          </cell>
        </row>
        <row r="13">
          <cell r="B13" t="str">
            <v>13201</v>
          </cell>
          <cell r="C13" t="str">
            <v>Prima Vacacional</v>
          </cell>
          <cell r="D13">
            <v>589735.42000000004</v>
          </cell>
          <cell r="E13">
            <v>0</v>
          </cell>
          <cell r="F13">
            <v>0</v>
          </cell>
          <cell r="G13">
            <v>589735.42000000004</v>
          </cell>
          <cell r="H13">
            <v>95431.53</v>
          </cell>
          <cell r="I13">
            <v>95431.53</v>
          </cell>
          <cell r="J13">
            <v>95431.53</v>
          </cell>
          <cell r="K13">
            <v>95431.53</v>
          </cell>
          <cell r="L13">
            <v>494303.89</v>
          </cell>
          <cell r="M13">
            <v>494303.89</v>
          </cell>
        </row>
        <row r="14">
          <cell r="B14" t="str">
            <v>13202</v>
          </cell>
          <cell r="C14" t="str">
            <v>Gratificaciones por Fin de Año</v>
          </cell>
          <cell r="D14">
            <v>1360110.87</v>
          </cell>
          <cell r="E14">
            <v>0</v>
          </cell>
          <cell r="F14">
            <v>0</v>
          </cell>
          <cell r="G14">
            <v>1360110.87</v>
          </cell>
          <cell r="H14">
            <v>200040.58000000002</v>
          </cell>
          <cell r="I14">
            <v>200040.58000000002</v>
          </cell>
          <cell r="J14">
            <v>200040.58000000002</v>
          </cell>
          <cell r="K14">
            <v>200040.58000000002</v>
          </cell>
          <cell r="L14">
            <v>1160070.29</v>
          </cell>
          <cell r="M14">
            <v>1160070.29</v>
          </cell>
        </row>
        <row r="15">
          <cell r="B15" t="str">
            <v>13203</v>
          </cell>
          <cell r="C15" t="str">
            <v>Compensaciones por Ajuste de Calendario</v>
          </cell>
          <cell r="D15">
            <v>0</v>
          </cell>
          <cell r="E15">
            <v>0</v>
          </cell>
          <cell r="F15">
            <v>0</v>
          </cell>
          <cell r="G15">
            <v>0</v>
          </cell>
          <cell r="H15">
            <v>0</v>
          </cell>
          <cell r="I15">
            <v>0</v>
          </cell>
          <cell r="J15">
            <v>0</v>
          </cell>
          <cell r="K15">
            <v>0</v>
          </cell>
          <cell r="L15">
            <v>0</v>
          </cell>
          <cell r="M15">
            <v>0</v>
          </cell>
        </row>
        <row r="16">
          <cell r="B16" t="str">
            <v>13204</v>
          </cell>
          <cell r="C16" t="str">
            <v>Compensacion por Bono Navideño</v>
          </cell>
          <cell r="D16">
            <v>0</v>
          </cell>
          <cell r="E16">
            <v>0</v>
          </cell>
          <cell r="F16">
            <v>0</v>
          </cell>
          <cell r="G16">
            <v>0</v>
          </cell>
          <cell r="H16">
            <v>0</v>
          </cell>
          <cell r="I16">
            <v>0</v>
          </cell>
          <cell r="J16">
            <v>0</v>
          </cell>
          <cell r="K16">
            <v>0</v>
          </cell>
          <cell r="L16">
            <v>0</v>
          </cell>
          <cell r="M16">
            <v>0</v>
          </cell>
        </row>
        <row r="17">
          <cell r="B17" t="str">
            <v>13403</v>
          </cell>
          <cell r="C17" t="str">
            <v>Estimulos al Personal de Confianza</v>
          </cell>
          <cell r="D17">
            <v>0</v>
          </cell>
          <cell r="E17">
            <v>0</v>
          </cell>
          <cell r="F17">
            <v>0</v>
          </cell>
          <cell r="G17">
            <v>0</v>
          </cell>
          <cell r="H17">
            <v>0</v>
          </cell>
          <cell r="I17">
            <v>0</v>
          </cell>
          <cell r="J17">
            <v>0</v>
          </cell>
          <cell r="K17">
            <v>0</v>
          </cell>
          <cell r="L17">
            <v>0</v>
          </cell>
          <cell r="M17">
            <v>0</v>
          </cell>
        </row>
        <row r="18">
          <cell r="B18" t="str">
            <v>14101</v>
          </cell>
          <cell r="C18" t="str">
            <v>Cuotas por Servicio Medico del Isssteson</v>
          </cell>
          <cell r="D18">
            <v>902295.22</v>
          </cell>
          <cell r="E18">
            <v>0</v>
          </cell>
          <cell r="F18">
            <v>0</v>
          </cell>
          <cell r="G18">
            <v>902295.22</v>
          </cell>
          <cell r="H18">
            <v>962407.8</v>
          </cell>
          <cell r="I18">
            <v>962407.8</v>
          </cell>
          <cell r="J18">
            <v>962407.8</v>
          </cell>
          <cell r="K18">
            <v>962407.8</v>
          </cell>
          <cell r="L18">
            <v>-60112.580000000075</v>
          </cell>
          <cell r="M18">
            <v>-60112.580000000075</v>
          </cell>
        </row>
        <row r="19">
          <cell r="B19" t="str">
            <v>14102</v>
          </cell>
          <cell r="C19" t="str">
            <v>Cuotas por Seguro de Vida Isssteson</v>
          </cell>
          <cell r="D19">
            <v>95.76</v>
          </cell>
          <cell r="E19">
            <v>0</v>
          </cell>
          <cell r="F19">
            <v>0</v>
          </cell>
          <cell r="G19">
            <v>95.76</v>
          </cell>
          <cell r="H19">
            <v>93.499999999999986</v>
          </cell>
          <cell r="I19">
            <v>93.499999999999986</v>
          </cell>
          <cell r="J19">
            <v>93.499999999999986</v>
          </cell>
          <cell r="K19">
            <v>93.499999999999986</v>
          </cell>
          <cell r="L19">
            <v>2.2600000000000193</v>
          </cell>
          <cell r="M19">
            <v>2.2600000000000193</v>
          </cell>
        </row>
        <row r="20">
          <cell r="B20" t="str">
            <v>14103</v>
          </cell>
          <cell r="C20" t="str">
            <v>Cuotas por Seguro de Retiro al Isssteson</v>
          </cell>
          <cell r="D20">
            <v>1486.84</v>
          </cell>
          <cell r="E20">
            <v>0</v>
          </cell>
          <cell r="F20">
            <v>0</v>
          </cell>
          <cell r="G20">
            <v>1486.84</v>
          </cell>
          <cell r="H20">
            <v>1436.96</v>
          </cell>
          <cell r="I20">
            <v>1436.96</v>
          </cell>
          <cell r="J20">
            <v>1436.96</v>
          </cell>
          <cell r="K20">
            <v>1436.96</v>
          </cell>
          <cell r="L20">
            <v>49.879999999999882</v>
          </cell>
          <cell r="M20">
            <v>49.879999999999882</v>
          </cell>
        </row>
        <row r="21">
          <cell r="B21" t="str">
            <v>14104</v>
          </cell>
          <cell r="C21" t="str">
            <v>Asignaciones para Prestamos a Corto Plazo</v>
          </cell>
          <cell r="D21">
            <v>53076.19</v>
          </cell>
          <cell r="E21">
            <v>0</v>
          </cell>
          <cell r="F21">
            <v>0</v>
          </cell>
          <cell r="G21">
            <v>53076.19</v>
          </cell>
          <cell r="H21">
            <v>49175.920000000006</v>
          </cell>
          <cell r="I21">
            <v>49175.920000000006</v>
          </cell>
          <cell r="J21">
            <v>49175.920000000006</v>
          </cell>
          <cell r="K21">
            <v>49175.920000000006</v>
          </cell>
          <cell r="L21">
            <v>3900.2699999999968</v>
          </cell>
          <cell r="M21">
            <v>3900.2699999999968</v>
          </cell>
        </row>
        <row r="22">
          <cell r="B22" t="str">
            <v>14105</v>
          </cell>
          <cell r="C22" t="str">
            <v>Asignaciones para Prestamos Prendarios</v>
          </cell>
          <cell r="D22">
            <v>53076.19</v>
          </cell>
          <cell r="E22">
            <v>0</v>
          </cell>
          <cell r="F22">
            <v>0</v>
          </cell>
          <cell r="G22">
            <v>53076.19</v>
          </cell>
          <cell r="H22">
            <v>49175.920000000006</v>
          </cell>
          <cell r="I22">
            <v>49175.920000000006</v>
          </cell>
          <cell r="J22">
            <v>49175.920000000006</v>
          </cell>
          <cell r="K22">
            <v>49175.920000000006</v>
          </cell>
          <cell r="L22">
            <v>3900.2699999999968</v>
          </cell>
          <cell r="M22">
            <v>3900.2699999999968</v>
          </cell>
        </row>
        <row r="23">
          <cell r="B23" t="str">
            <v>14106</v>
          </cell>
          <cell r="C23" t="str">
            <v>Otras prestaciones de Seguridad Social</v>
          </cell>
          <cell r="D23">
            <v>318457.13</v>
          </cell>
          <cell r="E23">
            <v>0</v>
          </cell>
          <cell r="F23">
            <v>0</v>
          </cell>
          <cell r="G23">
            <v>318457.13</v>
          </cell>
          <cell r="H23">
            <v>245894.48</v>
          </cell>
          <cell r="I23">
            <v>245894.48</v>
          </cell>
          <cell r="J23">
            <v>245894.48</v>
          </cell>
          <cell r="K23">
            <v>245894.48</v>
          </cell>
          <cell r="L23">
            <v>72562.649999999994</v>
          </cell>
          <cell r="M23">
            <v>72562.649999999994</v>
          </cell>
        </row>
        <row r="24">
          <cell r="B24" t="str">
            <v>14107</v>
          </cell>
          <cell r="C24" t="str">
            <v>Cuotas p/Infraestructura,Equipamiento y Mantto Hos</v>
          </cell>
          <cell r="D24">
            <v>106152.39</v>
          </cell>
          <cell r="E24">
            <v>0</v>
          </cell>
          <cell r="F24">
            <v>0</v>
          </cell>
          <cell r="G24">
            <v>106152.39</v>
          </cell>
          <cell r="H24">
            <v>98354.08</v>
          </cell>
          <cell r="I24">
            <v>98354.08</v>
          </cell>
          <cell r="J24">
            <v>98354.08</v>
          </cell>
          <cell r="K24">
            <v>98354.08</v>
          </cell>
          <cell r="L24">
            <v>7798.3099999999977</v>
          </cell>
          <cell r="M24">
            <v>7798.3099999999977</v>
          </cell>
        </row>
        <row r="25">
          <cell r="B25" t="str">
            <v>14201</v>
          </cell>
          <cell r="C25" t="str">
            <v>Cuotas al Fovisssteson</v>
          </cell>
          <cell r="D25">
            <v>424609.5</v>
          </cell>
          <cell r="E25">
            <v>0</v>
          </cell>
          <cell r="F25">
            <v>0</v>
          </cell>
          <cell r="G25">
            <v>424609.5</v>
          </cell>
          <cell r="H25">
            <v>393432.23</v>
          </cell>
          <cell r="I25">
            <v>393432.23</v>
          </cell>
          <cell r="J25">
            <v>393432.23</v>
          </cell>
          <cell r="K25">
            <v>393432.23</v>
          </cell>
          <cell r="L25">
            <v>31177.270000000019</v>
          </cell>
          <cell r="M25">
            <v>31177.270000000019</v>
          </cell>
        </row>
        <row r="26">
          <cell r="B26" t="str">
            <v>14301</v>
          </cell>
          <cell r="C26" t="str">
            <v>Pagas de Defuncion,Pensiones y Jubilaciones</v>
          </cell>
          <cell r="D26">
            <v>1804590.42</v>
          </cell>
          <cell r="E26">
            <v>0</v>
          </cell>
          <cell r="F26">
            <v>0</v>
          </cell>
          <cell r="G26">
            <v>1804590.42</v>
          </cell>
          <cell r="H26">
            <v>1721269.73</v>
          </cell>
          <cell r="I26">
            <v>1721269.73</v>
          </cell>
          <cell r="J26">
            <v>1721269.73</v>
          </cell>
          <cell r="K26">
            <v>1721269.73</v>
          </cell>
          <cell r="L26">
            <v>83320.689999999944</v>
          </cell>
          <cell r="M26">
            <v>83320.689999999944</v>
          </cell>
        </row>
        <row r="27">
          <cell r="B27" t="str">
            <v>17102</v>
          </cell>
          <cell r="C27" t="str">
            <v>Estimulos al Personal</v>
          </cell>
          <cell r="D27">
            <v>2137725.7200000002</v>
          </cell>
          <cell r="E27">
            <v>0</v>
          </cell>
          <cell r="F27">
            <v>0</v>
          </cell>
          <cell r="G27">
            <v>2137725.7200000002</v>
          </cell>
          <cell r="H27">
            <v>2248432.1100000003</v>
          </cell>
          <cell r="I27">
            <v>2248432.1100000003</v>
          </cell>
          <cell r="J27">
            <v>2248432.1100000003</v>
          </cell>
          <cell r="K27">
            <v>2248432.1100000003</v>
          </cell>
          <cell r="L27">
            <v>-110706.39000000013</v>
          </cell>
          <cell r="M27">
            <v>-110706.39000000013</v>
          </cell>
        </row>
        <row r="28">
          <cell r="B28">
            <v>2000</v>
          </cell>
          <cell r="C28" t="str">
            <v>MATERIALES Y SUMINISTROS</v>
          </cell>
          <cell r="D28">
            <v>1586500.06</v>
          </cell>
          <cell r="E28">
            <v>110000</v>
          </cell>
          <cell r="F28">
            <v>110000</v>
          </cell>
          <cell r="G28">
            <v>1586500.06</v>
          </cell>
          <cell r="H28">
            <v>880286.3</v>
          </cell>
          <cell r="I28">
            <v>880286.3</v>
          </cell>
          <cell r="J28">
            <v>880286.3</v>
          </cell>
          <cell r="K28">
            <v>880286.3</v>
          </cell>
          <cell r="L28">
            <v>706213.76</v>
          </cell>
          <cell r="M28">
            <v>706213.76</v>
          </cell>
        </row>
        <row r="29">
          <cell r="B29" t="str">
            <v>21101</v>
          </cell>
          <cell r="C29" t="str">
            <v>Materiales, utiles y equipos menores de oficina</v>
          </cell>
          <cell r="D29">
            <v>400000</v>
          </cell>
          <cell r="E29">
            <v>0</v>
          </cell>
          <cell r="F29">
            <v>100000</v>
          </cell>
          <cell r="G29">
            <v>300000</v>
          </cell>
          <cell r="H29">
            <v>92333.53</v>
          </cell>
          <cell r="I29">
            <v>92333.53</v>
          </cell>
          <cell r="J29">
            <v>92333.53</v>
          </cell>
          <cell r="K29">
            <v>92333.53</v>
          </cell>
          <cell r="L29">
            <v>207666.47</v>
          </cell>
          <cell r="M29">
            <v>207666.47</v>
          </cell>
        </row>
        <row r="30">
          <cell r="B30" t="str">
            <v>21201</v>
          </cell>
          <cell r="C30" t="str">
            <v>Materiales y Utiles de Impresión y Reprodución</v>
          </cell>
          <cell r="D30">
            <v>150000.01</v>
          </cell>
          <cell r="E30">
            <v>0</v>
          </cell>
          <cell r="F30">
            <v>0</v>
          </cell>
          <cell r="G30">
            <v>150000.01</v>
          </cell>
          <cell r="H30">
            <v>127274.48999999999</v>
          </cell>
          <cell r="I30">
            <v>127274.48999999999</v>
          </cell>
          <cell r="J30">
            <v>127274.48999999999</v>
          </cell>
          <cell r="K30">
            <v>127274.48999999999</v>
          </cell>
          <cell r="L30">
            <v>22725.520000000019</v>
          </cell>
          <cell r="M30">
            <v>22725.520000000019</v>
          </cell>
        </row>
        <row r="31">
          <cell r="B31" t="str">
            <v>21501</v>
          </cell>
          <cell r="C31" t="str">
            <v>Material para Información</v>
          </cell>
          <cell r="D31">
            <v>300000</v>
          </cell>
          <cell r="E31">
            <v>100000</v>
          </cell>
          <cell r="F31">
            <v>0</v>
          </cell>
          <cell r="G31">
            <v>400000</v>
          </cell>
          <cell r="H31">
            <v>145976.28</v>
          </cell>
          <cell r="I31">
            <v>145976.28</v>
          </cell>
          <cell r="J31">
            <v>145976.28</v>
          </cell>
          <cell r="K31">
            <v>145976.28</v>
          </cell>
          <cell r="L31">
            <v>254023.72</v>
          </cell>
          <cell r="M31">
            <v>254023.72</v>
          </cell>
        </row>
        <row r="32">
          <cell r="B32" t="str">
            <v>21601</v>
          </cell>
          <cell r="C32" t="str">
            <v>Material de Limpieza</v>
          </cell>
          <cell r="D32">
            <v>10000.01</v>
          </cell>
          <cell r="E32">
            <v>0</v>
          </cell>
          <cell r="F32">
            <v>0</v>
          </cell>
          <cell r="G32">
            <v>10000.01</v>
          </cell>
          <cell r="H32">
            <v>4059.55</v>
          </cell>
          <cell r="I32">
            <v>4059.55</v>
          </cell>
          <cell r="J32">
            <v>4059.55</v>
          </cell>
          <cell r="K32">
            <v>4059.55</v>
          </cell>
          <cell r="L32">
            <v>5940.46</v>
          </cell>
          <cell r="M32">
            <v>5940.46</v>
          </cell>
        </row>
        <row r="33">
          <cell r="B33" t="str">
            <v>21801</v>
          </cell>
          <cell r="C33" t="str">
            <v>Placas, Engomados, Calcomanías y Hologramas</v>
          </cell>
          <cell r="D33">
            <v>10500</v>
          </cell>
          <cell r="E33">
            <v>0</v>
          </cell>
          <cell r="F33">
            <v>0</v>
          </cell>
          <cell r="G33">
            <v>10500</v>
          </cell>
          <cell r="H33">
            <v>10400</v>
          </cell>
          <cell r="I33">
            <v>10400</v>
          </cell>
          <cell r="J33">
            <v>10400</v>
          </cell>
          <cell r="K33">
            <v>10400</v>
          </cell>
          <cell r="L33">
            <v>100</v>
          </cell>
          <cell r="M33">
            <v>100</v>
          </cell>
        </row>
        <row r="34">
          <cell r="B34" t="str">
            <v>22101</v>
          </cell>
          <cell r="C34" t="str">
            <v>Productos Alimenticios p/el Personal en las inst.</v>
          </cell>
          <cell r="D34">
            <v>70000.009999999995</v>
          </cell>
          <cell r="E34">
            <v>10000</v>
          </cell>
          <cell r="F34">
            <v>0</v>
          </cell>
          <cell r="G34">
            <v>80000.009999999995</v>
          </cell>
          <cell r="H34">
            <v>79798.390000000014</v>
          </cell>
          <cell r="I34">
            <v>79798.390000000014</v>
          </cell>
          <cell r="J34">
            <v>79798.390000000014</v>
          </cell>
          <cell r="K34">
            <v>79798.390000000014</v>
          </cell>
          <cell r="L34">
            <v>201.61999999998079</v>
          </cell>
          <cell r="M34">
            <v>201.61999999998079</v>
          </cell>
        </row>
        <row r="35">
          <cell r="B35" t="str">
            <v>22301</v>
          </cell>
          <cell r="C35" t="str">
            <v>Utensilios para el Servicio de Alimentación</v>
          </cell>
          <cell r="D35">
            <v>5000</v>
          </cell>
          <cell r="E35">
            <v>0</v>
          </cell>
          <cell r="F35">
            <v>0</v>
          </cell>
          <cell r="G35">
            <v>5000</v>
          </cell>
          <cell r="H35">
            <v>1533.2800000000002</v>
          </cell>
          <cell r="I35">
            <v>1533.2800000000002</v>
          </cell>
          <cell r="J35">
            <v>1533.2800000000002</v>
          </cell>
          <cell r="K35">
            <v>1533.2800000000002</v>
          </cell>
          <cell r="L35">
            <v>3466.72</v>
          </cell>
          <cell r="M35">
            <v>3466.72</v>
          </cell>
        </row>
        <row r="36">
          <cell r="B36" t="str">
            <v>24101</v>
          </cell>
          <cell r="C36" t="str">
            <v>Productos Minerales NO Métalicos</v>
          </cell>
          <cell r="D36">
            <v>0</v>
          </cell>
          <cell r="E36">
            <v>0</v>
          </cell>
          <cell r="F36">
            <v>0</v>
          </cell>
          <cell r="G36">
            <v>0</v>
          </cell>
          <cell r="H36">
            <v>0</v>
          </cell>
          <cell r="I36">
            <v>0</v>
          </cell>
          <cell r="J36">
            <v>0</v>
          </cell>
          <cell r="K36">
            <v>0</v>
          </cell>
          <cell r="L36">
            <v>0</v>
          </cell>
          <cell r="M36">
            <v>0</v>
          </cell>
        </row>
        <row r="37">
          <cell r="B37" t="str">
            <v>24501</v>
          </cell>
          <cell r="C37" t="str">
            <v>Vidrioy Productos de Vidrio</v>
          </cell>
          <cell r="D37">
            <v>0</v>
          </cell>
          <cell r="E37">
            <v>0</v>
          </cell>
          <cell r="F37">
            <v>0</v>
          </cell>
          <cell r="G37">
            <v>0</v>
          </cell>
          <cell r="H37">
            <v>0</v>
          </cell>
          <cell r="I37">
            <v>0</v>
          </cell>
          <cell r="J37">
            <v>0</v>
          </cell>
          <cell r="K37">
            <v>0</v>
          </cell>
          <cell r="L37">
            <v>0</v>
          </cell>
          <cell r="M37">
            <v>0</v>
          </cell>
        </row>
        <row r="38">
          <cell r="B38" t="str">
            <v>24601</v>
          </cell>
          <cell r="C38" t="str">
            <v>Material Eléctrico y Electrónico</v>
          </cell>
          <cell r="D38">
            <v>0</v>
          </cell>
          <cell r="E38">
            <v>0</v>
          </cell>
          <cell r="F38">
            <v>0</v>
          </cell>
          <cell r="G38">
            <v>0</v>
          </cell>
          <cell r="H38">
            <v>0</v>
          </cell>
          <cell r="I38">
            <v>0</v>
          </cell>
          <cell r="J38">
            <v>0</v>
          </cell>
          <cell r="K38">
            <v>0</v>
          </cell>
          <cell r="L38">
            <v>0</v>
          </cell>
          <cell r="M38">
            <v>0</v>
          </cell>
        </row>
        <row r="39">
          <cell r="B39" t="str">
            <v>24701</v>
          </cell>
          <cell r="C39" t="str">
            <v>Articulos Metálicos para la Construcción</v>
          </cell>
          <cell r="D39">
            <v>0</v>
          </cell>
          <cell r="E39">
            <v>0</v>
          </cell>
          <cell r="F39">
            <v>0</v>
          </cell>
          <cell r="G39">
            <v>0</v>
          </cell>
          <cell r="H39">
            <v>0</v>
          </cell>
          <cell r="I39">
            <v>0</v>
          </cell>
          <cell r="J39">
            <v>0</v>
          </cell>
          <cell r="K39">
            <v>0</v>
          </cell>
          <cell r="L39">
            <v>0</v>
          </cell>
          <cell r="M39">
            <v>0</v>
          </cell>
        </row>
        <row r="40">
          <cell r="B40" t="str">
            <v>24801</v>
          </cell>
          <cell r="C40" t="str">
            <v>Materiales Complementarios</v>
          </cell>
          <cell r="D40">
            <v>10000.01</v>
          </cell>
          <cell r="E40">
            <v>0</v>
          </cell>
          <cell r="F40">
            <v>10000</v>
          </cell>
          <cell r="G40">
            <v>1.0000000000218279E-2</v>
          </cell>
          <cell r="H40">
            <v>0</v>
          </cell>
          <cell r="I40">
            <v>0</v>
          </cell>
          <cell r="J40">
            <v>0</v>
          </cell>
          <cell r="K40">
            <v>0</v>
          </cell>
          <cell r="L40">
            <v>1.0000000000218279E-2</v>
          </cell>
          <cell r="M40">
            <v>1.0000000000218279E-2</v>
          </cell>
        </row>
        <row r="41">
          <cell r="B41" t="str">
            <v>25301</v>
          </cell>
          <cell r="C41" t="str">
            <v>Medicinas y Productos Farmaceuticos</v>
          </cell>
          <cell r="D41">
            <v>1000</v>
          </cell>
          <cell r="E41">
            <v>0</v>
          </cell>
          <cell r="F41">
            <v>0</v>
          </cell>
          <cell r="G41">
            <v>1000</v>
          </cell>
          <cell r="H41">
            <v>0</v>
          </cell>
          <cell r="I41">
            <v>0</v>
          </cell>
          <cell r="J41">
            <v>0</v>
          </cell>
          <cell r="K41">
            <v>0</v>
          </cell>
          <cell r="L41">
            <v>1000</v>
          </cell>
          <cell r="M41">
            <v>1000</v>
          </cell>
        </row>
        <row r="42">
          <cell r="B42" t="str">
            <v>26101</v>
          </cell>
          <cell r="C42" t="str">
            <v>Combustibles</v>
          </cell>
          <cell r="D42">
            <v>300000</v>
          </cell>
          <cell r="E42">
            <v>0</v>
          </cell>
          <cell r="F42">
            <v>0</v>
          </cell>
          <cell r="G42">
            <v>300000</v>
          </cell>
          <cell r="H42">
            <v>285316.41000000003</v>
          </cell>
          <cell r="I42">
            <v>285316.41000000003</v>
          </cell>
          <cell r="J42">
            <v>285316.41000000003</v>
          </cell>
          <cell r="K42">
            <v>285316.41000000003</v>
          </cell>
          <cell r="L42">
            <v>14683.589999999967</v>
          </cell>
          <cell r="M42">
            <v>14683.589999999967</v>
          </cell>
        </row>
        <row r="43">
          <cell r="B43" t="str">
            <v>27101</v>
          </cell>
          <cell r="C43" t="str">
            <v>Vestuario y Uniformes</v>
          </cell>
          <cell r="D43">
            <v>0</v>
          </cell>
          <cell r="E43">
            <v>0</v>
          </cell>
          <cell r="F43">
            <v>0</v>
          </cell>
          <cell r="G43">
            <v>0</v>
          </cell>
          <cell r="H43">
            <v>0</v>
          </cell>
          <cell r="I43">
            <v>0</v>
          </cell>
          <cell r="J43">
            <v>0</v>
          </cell>
          <cell r="K43">
            <v>0</v>
          </cell>
          <cell r="L43">
            <v>0</v>
          </cell>
          <cell r="M43">
            <v>0</v>
          </cell>
        </row>
        <row r="44">
          <cell r="B44" t="str">
            <v>29101</v>
          </cell>
          <cell r="C44" t="str">
            <v>Herramientas Menores</v>
          </cell>
          <cell r="D44">
            <v>100000.01</v>
          </cell>
          <cell r="E44">
            <v>0</v>
          </cell>
          <cell r="F44">
            <v>0</v>
          </cell>
          <cell r="G44">
            <v>100000.01</v>
          </cell>
          <cell r="H44">
            <v>48051.619999999995</v>
          </cell>
          <cell r="I44">
            <v>48051.619999999995</v>
          </cell>
          <cell r="J44">
            <v>48051.619999999995</v>
          </cell>
          <cell r="K44">
            <v>48051.619999999995</v>
          </cell>
          <cell r="L44">
            <v>51948.39</v>
          </cell>
          <cell r="M44">
            <v>51948.39</v>
          </cell>
        </row>
        <row r="45">
          <cell r="B45" t="str">
            <v>29401</v>
          </cell>
          <cell r="C45" t="str">
            <v>Refac y accs menores de eq. computo y tec de infor</v>
          </cell>
          <cell r="D45">
            <v>80000</v>
          </cell>
          <cell r="E45">
            <v>0</v>
          </cell>
          <cell r="F45">
            <v>0</v>
          </cell>
          <cell r="G45">
            <v>80000</v>
          </cell>
          <cell r="H45">
            <v>27785.79</v>
          </cell>
          <cell r="I45">
            <v>27785.79</v>
          </cell>
          <cell r="J45">
            <v>27785.79</v>
          </cell>
          <cell r="K45">
            <v>27785.79</v>
          </cell>
          <cell r="L45">
            <v>52214.21</v>
          </cell>
          <cell r="M45">
            <v>52214.21</v>
          </cell>
        </row>
        <row r="46">
          <cell r="B46" t="str">
            <v>29601</v>
          </cell>
          <cell r="C46" t="str">
            <v>Refacc y Accs Menores de Eq Transporte</v>
          </cell>
          <cell r="D46">
            <v>150000.01</v>
          </cell>
          <cell r="E46">
            <v>0</v>
          </cell>
          <cell r="F46">
            <v>0</v>
          </cell>
          <cell r="G46">
            <v>150000.01</v>
          </cell>
          <cell r="H46">
            <v>57756.959999999999</v>
          </cell>
          <cell r="I46">
            <v>57756.959999999999</v>
          </cell>
          <cell r="J46">
            <v>57756.959999999999</v>
          </cell>
          <cell r="K46">
            <v>57756.959999999999</v>
          </cell>
          <cell r="L46">
            <v>92243.050000000017</v>
          </cell>
          <cell r="M46">
            <v>92243.050000000017</v>
          </cell>
        </row>
        <row r="47">
          <cell r="B47">
            <v>3000</v>
          </cell>
          <cell r="C47" t="str">
            <v>SERVICIOS GENERALES</v>
          </cell>
          <cell r="D47">
            <v>39361928.079999991</v>
          </cell>
          <cell r="E47">
            <v>7780447.6299999999</v>
          </cell>
          <cell r="F47">
            <v>697662.67999999993</v>
          </cell>
          <cell r="G47">
            <v>46444713.030000001</v>
          </cell>
          <cell r="H47">
            <v>23067638.18</v>
          </cell>
          <cell r="I47">
            <v>23067638.099999998</v>
          </cell>
          <cell r="J47">
            <v>23067638.099999998</v>
          </cell>
          <cell r="K47">
            <v>23067638.099999998</v>
          </cell>
          <cell r="L47">
            <v>23837474.850000005</v>
          </cell>
          <cell r="M47">
            <v>23837474.930000007</v>
          </cell>
        </row>
        <row r="48">
          <cell r="B48" t="str">
            <v>31101</v>
          </cell>
          <cell r="C48" t="str">
            <v>Energia Electrica</v>
          </cell>
          <cell r="D48">
            <v>1000000</v>
          </cell>
          <cell r="E48">
            <v>0</v>
          </cell>
          <cell r="F48">
            <v>0</v>
          </cell>
          <cell r="G48">
            <v>1000000</v>
          </cell>
          <cell r="H48">
            <v>580035.23</v>
          </cell>
          <cell r="I48">
            <v>580035.23</v>
          </cell>
          <cell r="J48">
            <v>580035.23</v>
          </cell>
          <cell r="K48">
            <v>580035.23</v>
          </cell>
          <cell r="L48">
            <v>419964.77</v>
          </cell>
          <cell r="M48">
            <v>419964.77</v>
          </cell>
        </row>
        <row r="49">
          <cell r="B49" t="str">
            <v>31301</v>
          </cell>
          <cell r="C49" t="str">
            <v>Agua</v>
          </cell>
          <cell r="D49">
            <v>59999.99</v>
          </cell>
          <cell r="E49">
            <v>0</v>
          </cell>
          <cell r="F49">
            <v>0</v>
          </cell>
          <cell r="G49">
            <v>59999.99</v>
          </cell>
          <cell r="H49">
            <v>38910.15</v>
          </cell>
          <cell r="I49">
            <v>38910.15</v>
          </cell>
          <cell r="J49">
            <v>38910.15</v>
          </cell>
          <cell r="K49">
            <v>38910.15</v>
          </cell>
          <cell r="L49">
            <v>21089.839999999997</v>
          </cell>
          <cell r="M49">
            <v>21089.839999999997</v>
          </cell>
        </row>
        <row r="50">
          <cell r="B50" t="str">
            <v>31401</v>
          </cell>
          <cell r="C50" t="str">
            <v>Telefonia Tradicional</v>
          </cell>
          <cell r="D50">
            <v>500000.01</v>
          </cell>
          <cell r="E50">
            <v>0</v>
          </cell>
          <cell r="F50">
            <v>0</v>
          </cell>
          <cell r="G50">
            <v>500000.01</v>
          </cell>
          <cell r="H50">
            <v>376146.74</v>
          </cell>
          <cell r="I50">
            <v>376146.74</v>
          </cell>
          <cell r="J50">
            <v>376146.74</v>
          </cell>
          <cell r="K50">
            <v>376146.74</v>
          </cell>
          <cell r="L50">
            <v>123853.27000000002</v>
          </cell>
          <cell r="M50">
            <v>123853.27000000002</v>
          </cell>
        </row>
        <row r="51">
          <cell r="B51" t="str">
            <v>31501</v>
          </cell>
          <cell r="C51" t="str">
            <v>Telefonia Celular</v>
          </cell>
          <cell r="D51">
            <v>150000.01</v>
          </cell>
          <cell r="E51">
            <v>0</v>
          </cell>
          <cell r="F51">
            <v>0</v>
          </cell>
          <cell r="G51">
            <v>150000.01</v>
          </cell>
          <cell r="H51">
            <v>53383</v>
          </cell>
          <cell r="I51">
            <v>53383</v>
          </cell>
          <cell r="J51">
            <v>53383</v>
          </cell>
          <cell r="K51">
            <v>53383</v>
          </cell>
          <cell r="L51">
            <v>96617.010000000009</v>
          </cell>
          <cell r="M51">
            <v>96617.010000000009</v>
          </cell>
        </row>
        <row r="52">
          <cell r="B52" t="str">
            <v>31701</v>
          </cell>
          <cell r="C52" t="str">
            <v>Serv Acceso Internet, Redes y Proces de Informacio</v>
          </cell>
          <cell r="D52">
            <v>25000</v>
          </cell>
          <cell r="E52">
            <v>0</v>
          </cell>
          <cell r="F52">
            <v>0</v>
          </cell>
          <cell r="G52">
            <v>25000</v>
          </cell>
          <cell r="H52">
            <v>9003</v>
          </cell>
          <cell r="I52">
            <v>9003</v>
          </cell>
          <cell r="J52">
            <v>9003</v>
          </cell>
          <cell r="K52">
            <v>9003</v>
          </cell>
          <cell r="L52">
            <v>15997</v>
          </cell>
          <cell r="M52">
            <v>15997</v>
          </cell>
        </row>
        <row r="53">
          <cell r="B53" t="str">
            <v>31801</v>
          </cell>
          <cell r="C53" t="str">
            <v>Servicio Postal</v>
          </cell>
          <cell r="D53">
            <v>200000</v>
          </cell>
          <cell r="E53">
            <v>0</v>
          </cell>
          <cell r="F53">
            <v>0</v>
          </cell>
          <cell r="G53">
            <v>200000</v>
          </cell>
          <cell r="H53">
            <v>89020.529999999984</v>
          </cell>
          <cell r="I53">
            <v>89020.529999999984</v>
          </cell>
          <cell r="J53">
            <v>89020.529999999984</v>
          </cell>
          <cell r="K53">
            <v>89020.529999999984</v>
          </cell>
          <cell r="L53">
            <v>110979.47000000002</v>
          </cell>
          <cell r="M53">
            <v>110979.47000000002</v>
          </cell>
        </row>
        <row r="54">
          <cell r="B54" t="str">
            <v>32201</v>
          </cell>
          <cell r="C54" t="str">
            <v>Arrendamiento de Edificios</v>
          </cell>
          <cell r="D54">
            <v>2300500.0099999998</v>
          </cell>
          <cell r="E54">
            <v>0</v>
          </cell>
          <cell r="F54">
            <v>0</v>
          </cell>
          <cell r="G54">
            <v>2300500.0099999998</v>
          </cell>
          <cell r="H54">
            <v>2154408.19</v>
          </cell>
          <cell r="I54">
            <v>2154408.11</v>
          </cell>
          <cell r="J54">
            <v>2154408.11</v>
          </cell>
          <cell r="K54">
            <v>2154408.11</v>
          </cell>
          <cell r="L54">
            <v>146091.81999999983</v>
          </cell>
          <cell r="M54">
            <v>146091.89999999991</v>
          </cell>
        </row>
        <row r="55">
          <cell r="B55" t="str">
            <v>32301</v>
          </cell>
          <cell r="C55" t="str">
            <v>Arrendamiento Muebles, Maq y Eqpo</v>
          </cell>
          <cell r="D55">
            <v>100000.01</v>
          </cell>
          <cell r="E55">
            <v>30000</v>
          </cell>
          <cell r="F55">
            <v>0</v>
          </cell>
          <cell r="G55">
            <v>130000.01</v>
          </cell>
          <cell r="H55">
            <v>120765.66</v>
          </cell>
          <cell r="I55">
            <v>120765.66</v>
          </cell>
          <cell r="J55">
            <v>120765.66</v>
          </cell>
          <cell r="K55">
            <v>120765.66</v>
          </cell>
          <cell r="L55">
            <v>9234.3499999999913</v>
          </cell>
          <cell r="M55">
            <v>9234.3499999999913</v>
          </cell>
        </row>
        <row r="56">
          <cell r="B56" t="str">
            <v>32501</v>
          </cell>
          <cell r="C56" t="str">
            <v>Arrendamiento Eqpo de Transporte</v>
          </cell>
          <cell r="D56">
            <v>350000.01</v>
          </cell>
          <cell r="E56">
            <v>0</v>
          </cell>
          <cell r="F56">
            <v>0</v>
          </cell>
          <cell r="G56">
            <v>350000.01</v>
          </cell>
          <cell r="H56">
            <v>141737.60000000001</v>
          </cell>
          <cell r="I56">
            <v>141737.60000000001</v>
          </cell>
          <cell r="J56">
            <v>141737.60000000001</v>
          </cell>
          <cell r="K56">
            <v>141737.60000000001</v>
          </cell>
          <cell r="L56">
            <v>208262.41</v>
          </cell>
          <cell r="M56">
            <v>208262.41</v>
          </cell>
        </row>
        <row r="57">
          <cell r="B57" t="str">
            <v>33101</v>
          </cell>
          <cell r="C57" t="str">
            <v>Servs Legales,de Contabilidad,Auditorias y Relacio</v>
          </cell>
          <cell r="D57">
            <v>1100000</v>
          </cell>
          <cell r="E57">
            <v>0</v>
          </cell>
          <cell r="F57">
            <v>230200</v>
          </cell>
          <cell r="G57">
            <v>869800</v>
          </cell>
          <cell r="H57">
            <v>579054.26</v>
          </cell>
          <cell r="I57">
            <v>579054.26</v>
          </cell>
          <cell r="J57">
            <v>579054.26</v>
          </cell>
          <cell r="K57">
            <v>579054.26</v>
          </cell>
          <cell r="L57">
            <v>751145.74</v>
          </cell>
          <cell r="M57">
            <v>751145.74</v>
          </cell>
        </row>
        <row r="58">
          <cell r="B58">
            <v>33201</v>
          </cell>
          <cell r="C58" t="str">
            <v>Servicios de Diseño, Arquitectura,Ingenieria y Act</v>
          </cell>
          <cell r="D58">
            <v>0</v>
          </cell>
          <cell r="E58">
            <v>230200</v>
          </cell>
          <cell r="F58">
            <v>0</v>
          </cell>
          <cell r="G58">
            <v>230200</v>
          </cell>
          <cell r="H58">
            <v>230190.4</v>
          </cell>
          <cell r="I58">
            <v>230190.4</v>
          </cell>
          <cell r="J58">
            <v>230190.4</v>
          </cell>
          <cell r="K58">
            <v>230190.4</v>
          </cell>
          <cell r="L58">
            <v>9.6000000000058208</v>
          </cell>
          <cell r="M58">
            <v>9.6000000000058208</v>
          </cell>
        </row>
        <row r="59">
          <cell r="B59" t="str">
            <v>33301</v>
          </cell>
          <cell r="C59" t="str">
            <v>Servicos de Informatica</v>
          </cell>
          <cell r="D59">
            <v>25000</v>
          </cell>
          <cell r="E59">
            <v>0</v>
          </cell>
          <cell r="F59">
            <v>0</v>
          </cell>
          <cell r="G59">
            <v>25000</v>
          </cell>
          <cell r="H59">
            <v>0</v>
          </cell>
          <cell r="I59">
            <v>0</v>
          </cell>
          <cell r="J59">
            <v>0</v>
          </cell>
          <cell r="K59">
            <v>0</v>
          </cell>
          <cell r="L59">
            <v>25000</v>
          </cell>
          <cell r="M59">
            <v>25000</v>
          </cell>
        </row>
        <row r="60">
          <cell r="B60" t="str">
            <v>33302</v>
          </cell>
          <cell r="C60" t="str">
            <v>Servicios de Consultoria</v>
          </cell>
          <cell r="D60">
            <v>8000000</v>
          </cell>
          <cell r="E60">
            <v>0</v>
          </cell>
          <cell r="F60">
            <v>0</v>
          </cell>
          <cell r="G60">
            <v>8000000</v>
          </cell>
          <cell r="H60">
            <v>7239864.8200000003</v>
          </cell>
          <cell r="I60">
            <v>7239864.8200000003</v>
          </cell>
          <cell r="J60">
            <v>7239864.8200000003</v>
          </cell>
          <cell r="K60">
            <v>7239864.8200000003</v>
          </cell>
          <cell r="L60">
            <v>760135.1799999997</v>
          </cell>
          <cell r="M60">
            <v>760135.1799999997</v>
          </cell>
        </row>
        <row r="61">
          <cell r="B61" t="str">
            <v>33401</v>
          </cell>
          <cell r="C61" t="str">
            <v>Servicios de Capacitacion</v>
          </cell>
          <cell r="D61">
            <v>10000.01</v>
          </cell>
          <cell r="E61">
            <v>0</v>
          </cell>
          <cell r="F61">
            <v>0</v>
          </cell>
          <cell r="G61">
            <v>10000.01</v>
          </cell>
          <cell r="H61">
            <v>8120</v>
          </cell>
          <cell r="I61">
            <v>8120</v>
          </cell>
          <cell r="J61">
            <v>8120</v>
          </cell>
          <cell r="K61">
            <v>8120</v>
          </cell>
          <cell r="L61">
            <v>1880.0100000000002</v>
          </cell>
          <cell r="M61">
            <v>1880.0100000000002</v>
          </cell>
        </row>
        <row r="62">
          <cell r="B62" t="str">
            <v>33603</v>
          </cell>
          <cell r="C62" t="str">
            <v>Impresiones y Publicaciones Oficiales</v>
          </cell>
          <cell r="D62">
            <v>0</v>
          </cell>
          <cell r="E62">
            <v>0</v>
          </cell>
          <cell r="F62">
            <v>0</v>
          </cell>
          <cell r="G62">
            <v>0</v>
          </cell>
          <cell r="H62">
            <v>0</v>
          </cell>
          <cell r="I62">
            <v>0</v>
          </cell>
          <cell r="J62">
            <v>0</v>
          </cell>
          <cell r="K62">
            <v>0</v>
          </cell>
          <cell r="L62">
            <v>0</v>
          </cell>
          <cell r="M62">
            <v>0</v>
          </cell>
        </row>
        <row r="63">
          <cell r="B63" t="str">
            <v>33801</v>
          </cell>
          <cell r="C63" t="str">
            <v>Servicio de Vigilancia</v>
          </cell>
          <cell r="D63">
            <v>430000</v>
          </cell>
          <cell r="E63">
            <v>140300</v>
          </cell>
          <cell r="F63">
            <v>0</v>
          </cell>
          <cell r="G63">
            <v>570300</v>
          </cell>
          <cell r="H63">
            <v>570206.92000000004</v>
          </cell>
          <cell r="I63">
            <v>570206.92000000004</v>
          </cell>
          <cell r="J63">
            <v>570206.92000000004</v>
          </cell>
          <cell r="K63">
            <v>570206.92000000004</v>
          </cell>
          <cell r="L63">
            <v>93.07999999995809</v>
          </cell>
          <cell r="M63">
            <v>93.07999999995809</v>
          </cell>
        </row>
        <row r="64">
          <cell r="B64" t="str">
            <v>33901</v>
          </cell>
          <cell r="C64" t="str">
            <v>Servicios, Profesionales, Cientificos y Tenicos In</v>
          </cell>
          <cell r="D64">
            <v>750000</v>
          </cell>
          <cell r="E64">
            <v>117000</v>
          </cell>
          <cell r="F64">
            <v>0</v>
          </cell>
          <cell r="G64">
            <v>867000</v>
          </cell>
          <cell r="H64">
            <v>866876.31</v>
          </cell>
          <cell r="I64">
            <v>866876.31</v>
          </cell>
          <cell r="J64">
            <v>866876.31</v>
          </cell>
          <cell r="K64">
            <v>866876.31</v>
          </cell>
          <cell r="L64">
            <v>123.68999999994412</v>
          </cell>
          <cell r="M64">
            <v>123.68999999994412</v>
          </cell>
        </row>
        <row r="65">
          <cell r="B65" t="str">
            <v>34101</v>
          </cell>
          <cell r="C65" t="str">
            <v>Servicios Financieros y Bancarios</v>
          </cell>
          <cell r="D65">
            <v>10000.01</v>
          </cell>
          <cell r="E65">
            <v>0</v>
          </cell>
          <cell r="F65">
            <v>0</v>
          </cell>
          <cell r="G65">
            <v>10000.01</v>
          </cell>
          <cell r="H65">
            <v>7596.7000000000007</v>
          </cell>
          <cell r="I65">
            <v>7596.7000000000007</v>
          </cell>
          <cell r="J65">
            <v>7596.7000000000007</v>
          </cell>
          <cell r="K65">
            <v>7596.7000000000007</v>
          </cell>
          <cell r="L65">
            <v>2403.3099999999995</v>
          </cell>
          <cell r="M65">
            <v>2403.3099999999995</v>
          </cell>
        </row>
        <row r="66">
          <cell r="B66" t="str">
            <v>34401</v>
          </cell>
          <cell r="C66" t="str">
            <v>Seguros de Responsabilidad Patrimonial y Fianzas</v>
          </cell>
          <cell r="D66">
            <v>350000.01</v>
          </cell>
          <cell r="E66">
            <v>0</v>
          </cell>
          <cell r="F66">
            <v>20000</v>
          </cell>
          <cell r="G66">
            <v>330000.01</v>
          </cell>
          <cell r="H66">
            <v>185330.28999999998</v>
          </cell>
          <cell r="I66">
            <v>185330.28999999998</v>
          </cell>
          <cell r="J66">
            <v>185330.28999999998</v>
          </cell>
          <cell r="K66">
            <v>185330.28999999998</v>
          </cell>
          <cell r="L66">
            <v>144669.72000000003</v>
          </cell>
          <cell r="M66">
            <v>144669.72000000003</v>
          </cell>
        </row>
        <row r="67">
          <cell r="B67" t="str">
            <v>34501</v>
          </cell>
          <cell r="C67" t="str">
            <v>Seguro de Bienes Patrimoniales</v>
          </cell>
          <cell r="D67">
            <v>59999.99</v>
          </cell>
          <cell r="E67">
            <v>27800</v>
          </cell>
          <cell r="F67">
            <v>0</v>
          </cell>
          <cell r="G67">
            <v>87799.989999999991</v>
          </cell>
          <cell r="H67">
            <v>87783.330000000016</v>
          </cell>
          <cell r="I67">
            <v>87783.330000000016</v>
          </cell>
          <cell r="J67">
            <v>87783.330000000016</v>
          </cell>
          <cell r="K67">
            <v>87783.330000000016</v>
          </cell>
          <cell r="L67">
            <v>16.659999999974389</v>
          </cell>
          <cell r="M67">
            <v>16.659999999974389</v>
          </cell>
        </row>
        <row r="68">
          <cell r="B68" t="str">
            <v>34701</v>
          </cell>
          <cell r="C68" t="str">
            <v>Fletes y Maniobras</v>
          </cell>
          <cell r="D68">
            <v>10000.01</v>
          </cell>
          <cell r="E68">
            <v>0</v>
          </cell>
          <cell r="F68">
            <v>0</v>
          </cell>
          <cell r="G68">
            <v>10000.01</v>
          </cell>
          <cell r="H68">
            <v>3480</v>
          </cell>
          <cell r="I68">
            <v>3480</v>
          </cell>
          <cell r="J68">
            <v>3480</v>
          </cell>
          <cell r="K68">
            <v>3480</v>
          </cell>
          <cell r="L68">
            <v>6520.01</v>
          </cell>
          <cell r="M68">
            <v>6520.01</v>
          </cell>
        </row>
        <row r="69">
          <cell r="B69" t="str">
            <v>35101</v>
          </cell>
          <cell r="C69" t="str">
            <v>Mantenimiento y Conservacion de Inmuebles</v>
          </cell>
          <cell r="D69">
            <v>1200000</v>
          </cell>
          <cell r="E69">
            <v>0</v>
          </cell>
          <cell r="F69">
            <v>0</v>
          </cell>
          <cell r="G69">
            <v>1200000</v>
          </cell>
          <cell r="H69">
            <v>910097.28</v>
          </cell>
          <cell r="I69">
            <v>910097.28</v>
          </cell>
          <cell r="J69">
            <v>910097.28</v>
          </cell>
          <cell r="K69">
            <v>910097.28</v>
          </cell>
          <cell r="L69">
            <v>289902.71999999997</v>
          </cell>
          <cell r="M69">
            <v>289902.71999999997</v>
          </cell>
        </row>
        <row r="70">
          <cell r="B70" t="str">
            <v>35201</v>
          </cell>
          <cell r="C70" t="str">
            <v>Mantenimiento y Conservacion de Mob y Eqpo</v>
          </cell>
          <cell r="D70">
            <v>10000.01</v>
          </cell>
          <cell r="E70">
            <v>0</v>
          </cell>
          <cell r="F70">
            <v>0</v>
          </cell>
          <cell r="G70">
            <v>10000.01</v>
          </cell>
          <cell r="H70">
            <v>0</v>
          </cell>
          <cell r="I70">
            <v>0</v>
          </cell>
          <cell r="J70">
            <v>0</v>
          </cell>
          <cell r="K70">
            <v>0</v>
          </cell>
          <cell r="L70">
            <v>10000.01</v>
          </cell>
          <cell r="M70">
            <v>10000.01</v>
          </cell>
        </row>
        <row r="71">
          <cell r="B71" t="str">
            <v>35301</v>
          </cell>
          <cell r="C71" t="str">
            <v>Instalaciones</v>
          </cell>
          <cell r="D71">
            <v>50000</v>
          </cell>
          <cell r="E71">
            <v>0</v>
          </cell>
          <cell r="F71">
            <v>0</v>
          </cell>
          <cell r="G71">
            <v>50000</v>
          </cell>
          <cell r="H71">
            <v>4760.84</v>
          </cell>
          <cell r="I71">
            <v>4760.84</v>
          </cell>
          <cell r="J71">
            <v>4760.84</v>
          </cell>
          <cell r="K71">
            <v>4760.84</v>
          </cell>
          <cell r="L71">
            <v>45239.16</v>
          </cell>
          <cell r="M71">
            <v>45239.16</v>
          </cell>
        </row>
        <row r="72">
          <cell r="B72" t="str">
            <v>35302</v>
          </cell>
          <cell r="C72" t="str">
            <v>Mantto y Conservacion de Bienes Informaticos</v>
          </cell>
          <cell r="D72">
            <v>70000.009999999995</v>
          </cell>
          <cell r="E72">
            <v>15300</v>
          </cell>
          <cell r="F72">
            <v>0</v>
          </cell>
          <cell r="G72">
            <v>85300.01</v>
          </cell>
          <cell r="H72">
            <v>85289.489999999991</v>
          </cell>
          <cell r="I72">
            <v>85289.489999999991</v>
          </cell>
          <cell r="J72">
            <v>85289.489999999991</v>
          </cell>
          <cell r="K72">
            <v>85289.489999999991</v>
          </cell>
          <cell r="L72">
            <v>10.520000000004075</v>
          </cell>
          <cell r="M72">
            <v>10.520000000004075</v>
          </cell>
        </row>
        <row r="73">
          <cell r="B73" t="str">
            <v>35501</v>
          </cell>
          <cell r="C73" t="str">
            <v>Mantto y Conservacion Eqpo de Transporte</v>
          </cell>
          <cell r="D73">
            <v>250000</v>
          </cell>
          <cell r="E73">
            <v>0</v>
          </cell>
          <cell r="F73">
            <v>0</v>
          </cell>
          <cell r="G73">
            <v>250000</v>
          </cell>
          <cell r="H73">
            <v>87996.299999999988</v>
          </cell>
          <cell r="I73">
            <v>87996.299999999988</v>
          </cell>
          <cell r="J73">
            <v>87996.299999999988</v>
          </cell>
          <cell r="K73">
            <v>87996.299999999988</v>
          </cell>
          <cell r="L73">
            <v>162003.70000000001</v>
          </cell>
          <cell r="M73">
            <v>162003.70000000001</v>
          </cell>
        </row>
        <row r="74">
          <cell r="B74" t="str">
            <v>35701</v>
          </cell>
          <cell r="C74" t="str">
            <v>Mantenimiento y Conservacion de Maq y Eqpo</v>
          </cell>
          <cell r="D74">
            <v>59999.99</v>
          </cell>
          <cell r="E74">
            <v>0</v>
          </cell>
          <cell r="F74">
            <v>0</v>
          </cell>
          <cell r="G74">
            <v>59999.99</v>
          </cell>
          <cell r="H74">
            <v>50291.519999999997</v>
          </cell>
          <cell r="I74">
            <v>50291.519999999997</v>
          </cell>
          <cell r="J74">
            <v>50291.519999999997</v>
          </cell>
          <cell r="K74">
            <v>50291.519999999997</v>
          </cell>
          <cell r="L74">
            <v>9708.4700000000012</v>
          </cell>
          <cell r="M74">
            <v>9708.4700000000012</v>
          </cell>
        </row>
        <row r="75">
          <cell r="B75" t="str">
            <v>35901</v>
          </cell>
          <cell r="C75" t="str">
            <v>Servicios de Jardineria y Fumigacion</v>
          </cell>
          <cell r="D75">
            <v>90000</v>
          </cell>
          <cell r="E75">
            <v>0</v>
          </cell>
          <cell r="F75">
            <v>0</v>
          </cell>
          <cell r="G75">
            <v>90000</v>
          </cell>
          <cell r="H75">
            <v>80959.710000000006</v>
          </cell>
          <cell r="I75">
            <v>80959.709999999992</v>
          </cell>
          <cell r="J75">
            <v>80959.709999999992</v>
          </cell>
          <cell r="K75">
            <v>80959.709999999992</v>
          </cell>
          <cell r="L75">
            <v>9040.2899999999936</v>
          </cell>
          <cell r="M75">
            <v>9040.2900000000081</v>
          </cell>
        </row>
        <row r="76">
          <cell r="B76" t="str">
            <v>36101</v>
          </cell>
          <cell r="C76" t="str">
            <v>Difusion por Radio,TV y otros Medios de Mensajes s</v>
          </cell>
          <cell r="D76">
            <v>9999999.9900000002</v>
          </cell>
          <cell r="E76">
            <v>906118.88</v>
          </cell>
          <cell r="F76">
            <v>0</v>
          </cell>
          <cell r="G76">
            <v>10906118.870000001</v>
          </cell>
          <cell r="H76">
            <v>906118.86</v>
          </cell>
          <cell r="I76">
            <v>906118.86</v>
          </cell>
          <cell r="J76">
            <v>906118.86</v>
          </cell>
          <cell r="K76">
            <v>906118.86</v>
          </cell>
          <cell r="L76">
            <v>10000000.010000002</v>
          </cell>
          <cell r="M76">
            <v>10000000.010000002</v>
          </cell>
        </row>
        <row r="77">
          <cell r="B77" t="str">
            <v>36201</v>
          </cell>
          <cell r="C77" t="str">
            <v>Difusion por Radio,TV y Otros Medios de Mensajes C</v>
          </cell>
          <cell r="D77">
            <v>500000.01</v>
          </cell>
          <cell r="E77">
            <v>0</v>
          </cell>
          <cell r="F77">
            <v>105000</v>
          </cell>
          <cell r="G77">
            <v>395000.01</v>
          </cell>
          <cell r="H77">
            <v>70365.600000000006</v>
          </cell>
          <cell r="I77">
            <v>70365.600000000006</v>
          </cell>
          <cell r="J77">
            <v>70365.600000000006</v>
          </cell>
          <cell r="K77">
            <v>70365.600000000006</v>
          </cell>
          <cell r="L77">
            <v>324634.41000000003</v>
          </cell>
          <cell r="M77">
            <v>324634.41000000003</v>
          </cell>
        </row>
        <row r="78">
          <cell r="B78" t="str">
            <v>37101</v>
          </cell>
          <cell r="C78" t="str">
            <v>Pasajes Aereos</v>
          </cell>
          <cell r="D78">
            <v>3500000</v>
          </cell>
          <cell r="E78">
            <v>0</v>
          </cell>
          <cell r="F78">
            <v>0</v>
          </cell>
          <cell r="G78">
            <v>3500000</v>
          </cell>
          <cell r="H78">
            <v>2930557</v>
          </cell>
          <cell r="I78">
            <v>2930557</v>
          </cell>
          <cell r="J78">
            <v>2930557</v>
          </cell>
          <cell r="K78">
            <v>2930557</v>
          </cell>
          <cell r="L78">
            <v>569443</v>
          </cell>
          <cell r="M78">
            <v>569443</v>
          </cell>
        </row>
        <row r="79">
          <cell r="B79" t="str">
            <v>37201</v>
          </cell>
          <cell r="C79" t="str">
            <v>Pasajes Terrestres</v>
          </cell>
          <cell r="D79">
            <v>56428</v>
          </cell>
          <cell r="E79">
            <v>90000</v>
          </cell>
          <cell r="F79">
            <v>0</v>
          </cell>
          <cell r="G79">
            <v>146428</v>
          </cell>
          <cell r="H79">
            <v>35150.86</v>
          </cell>
          <cell r="I79">
            <v>35150.86</v>
          </cell>
          <cell r="J79">
            <v>35150.86</v>
          </cell>
          <cell r="K79">
            <v>35150.86</v>
          </cell>
          <cell r="L79">
            <v>111277.14</v>
          </cell>
          <cell r="M79">
            <v>111277.14</v>
          </cell>
        </row>
        <row r="80">
          <cell r="B80" t="str">
            <v>37501</v>
          </cell>
          <cell r="C80" t="str">
            <v>Viaticos en el Pais</v>
          </cell>
          <cell r="D80">
            <v>799999.99</v>
          </cell>
          <cell r="E80">
            <v>0</v>
          </cell>
          <cell r="F80">
            <v>0</v>
          </cell>
          <cell r="G80">
            <v>799999.99</v>
          </cell>
          <cell r="H80">
            <v>142556.41999999998</v>
          </cell>
          <cell r="I80">
            <v>142556.41999999998</v>
          </cell>
          <cell r="J80">
            <v>142556.41999999998</v>
          </cell>
          <cell r="K80">
            <v>142556.41999999998</v>
          </cell>
          <cell r="L80">
            <v>657443.57000000007</v>
          </cell>
          <cell r="M80">
            <v>657443.57000000007</v>
          </cell>
        </row>
        <row r="81">
          <cell r="B81" t="str">
            <v>37502</v>
          </cell>
          <cell r="C81" t="str">
            <v>Gastos de Camino</v>
          </cell>
          <cell r="D81">
            <v>5000</v>
          </cell>
          <cell r="E81">
            <v>5000</v>
          </cell>
          <cell r="F81">
            <v>0</v>
          </cell>
          <cell r="G81">
            <v>10000</v>
          </cell>
          <cell r="H81">
            <v>7498</v>
          </cell>
          <cell r="I81">
            <v>7498</v>
          </cell>
          <cell r="J81">
            <v>7498</v>
          </cell>
          <cell r="K81">
            <v>7498</v>
          </cell>
          <cell r="L81">
            <v>2502</v>
          </cell>
          <cell r="M81">
            <v>2502</v>
          </cell>
        </row>
        <row r="82">
          <cell r="B82" t="str">
            <v>37601</v>
          </cell>
          <cell r="C82" t="str">
            <v>Viaticos en el Extranjero</v>
          </cell>
          <cell r="D82">
            <v>2700000</v>
          </cell>
          <cell r="E82">
            <v>0</v>
          </cell>
          <cell r="F82">
            <v>45000</v>
          </cell>
          <cell r="G82">
            <v>2655000</v>
          </cell>
          <cell r="H82">
            <v>480268.83999999997</v>
          </cell>
          <cell r="I82">
            <v>480268.83999999997</v>
          </cell>
          <cell r="J82">
            <v>480268.83999999997</v>
          </cell>
          <cell r="K82">
            <v>480268.83999999997</v>
          </cell>
          <cell r="L82">
            <v>2174731.16</v>
          </cell>
          <cell r="M82">
            <v>2174731.16</v>
          </cell>
        </row>
        <row r="83">
          <cell r="B83" t="str">
            <v>37901</v>
          </cell>
          <cell r="C83" t="str">
            <v>Cuotas</v>
          </cell>
          <cell r="D83">
            <v>5000</v>
          </cell>
          <cell r="E83">
            <v>15000</v>
          </cell>
          <cell r="F83">
            <v>0</v>
          </cell>
          <cell r="G83">
            <v>20000</v>
          </cell>
          <cell r="H83">
            <v>9237</v>
          </cell>
          <cell r="I83">
            <v>9237</v>
          </cell>
          <cell r="J83">
            <v>9237</v>
          </cell>
          <cell r="K83">
            <v>9237</v>
          </cell>
          <cell r="L83">
            <v>10763</v>
          </cell>
          <cell r="M83">
            <v>10763</v>
          </cell>
        </row>
        <row r="84">
          <cell r="B84" t="str">
            <v>38101</v>
          </cell>
          <cell r="C84" t="str">
            <v>Gastos de ceremonial</v>
          </cell>
          <cell r="D84">
            <v>100000</v>
          </cell>
          <cell r="E84">
            <v>6193728.75</v>
          </cell>
          <cell r="F84">
            <v>17062.68</v>
          </cell>
          <cell r="G84">
            <v>6276666.0700000003</v>
          </cell>
          <cell r="H84">
            <v>1471670.7699999998</v>
          </cell>
          <cell r="I84">
            <v>1471670.7699999998</v>
          </cell>
          <cell r="J84">
            <v>1471670.7699999998</v>
          </cell>
          <cell r="K84">
            <v>1471670.7699999998</v>
          </cell>
          <cell r="L84">
            <v>4804995.3000000007</v>
          </cell>
          <cell r="M84">
            <v>4804995.3000000007</v>
          </cell>
        </row>
        <row r="85">
          <cell r="B85" t="str">
            <v>38201</v>
          </cell>
          <cell r="C85" t="str">
            <v>Gastos de Orden Social y cultural</v>
          </cell>
          <cell r="D85">
            <v>10000.01</v>
          </cell>
          <cell r="E85">
            <v>0</v>
          </cell>
          <cell r="F85">
            <v>0</v>
          </cell>
          <cell r="G85">
            <v>10000.01</v>
          </cell>
          <cell r="H85">
            <v>3000</v>
          </cell>
          <cell r="I85">
            <v>3000</v>
          </cell>
          <cell r="J85">
            <v>3000</v>
          </cell>
          <cell r="K85">
            <v>3000</v>
          </cell>
          <cell r="L85">
            <v>7000.01</v>
          </cell>
          <cell r="M85">
            <v>7000.01</v>
          </cell>
        </row>
        <row r="86">
          <cell r="B86" t="str">
            <v>38301</v>
          </cell>
          <cell r="C86" t="str">
            <v>Congresos y Convenciones</v>
          </cell>
          <cell r="D86">
            <v>3900000</v>
          </cell>
          <cell r="E86">
            <v>0</v>
          </cell>
          <cell r="F86">
            <v>280400</v>
          </cell>
          <cell r="G86">
            <v>3619600</v>
          </cell>
          <cell r="H86">
            <v>1898922.91</v>
          </cell>
          <cell r="I86">
            <v>1898922.91</v>
          </cell>
          <cell r="J86">
            <v>1898922.91</v>
          </cell>
          <cell r="K86">
            <v>1898922.91</v>
          </cell>
          <cell r="L86">
            <v>1720677.09</v>
          </cell>
          <cell r="M86">
            <v>1720677.09</v>
          </cell>
        </row>
        <row r="87">
          <cell r="B87" t="str">
            <v>38501</v>
          </cell>
          <cell r="C87" t="str">
            <v>Gastos de Atencion y Promocion</v>
          </cell>
          <cell r="D87">
            <v>600000</v>
          </cell>
          <cell r="E87">
            <v>0</v>
          </cell>
          <cell r="F87">
            <v>0</v>
          </cell>
          <cell r="G87">
            <v>600000</v>
          </cell>
          <cell r="H87">
            <v>522412.64999999997</v>
          </cell>
          <cell r="I87">
            <v>522412.64999999997</v>
          </cell>
          <cell r="J87">
            <v>522412.64999999997</v>
          </cell>
          <cell r="K87">
            <v>522412.64999999997</v>
          </cell>
          <cell r="L87">
            <v>77587.350000000035</v>
          </cell>
          <cell r="M87">
            <v>77587.350000000035</v>
          </cell>
        </row>
        <row r="88">
          <cell r="B88" t="str">
            <v>39201</v>
          </cell>
          <cell r="C88" t="str">
            <v>Impuestos y Derechos</v>
          </cell>
          <cell r="D88">
            <v>5000</v>
          </cell>
          <cell r="E88">
            <v>0</v>
          </cell>
          <cell r="F88">
            <v>0</v>
          </cell>
          <cell r="G88">
            <v>5000</v>
          </cell>
          <cell r="H88">
            <v>0</v>
          </cell>
          <cell r="I88">
            <v>0</v>
          </cell>
          <cell r="J88">
            <v>0</v>
          </cell>
          <cell r="K88">
            <v>0</v>
          </cell>
          <cell r="L88">
            <v>5000</v>
          </cell>
          <cell r="M88">
            <v>5000</v>
          </cell>
        </row>
        <row r="89">
          <cell r="B89">
            <v>39501</v>
          </cell>
          <cell r="C89" t="str">
            <v>PENAS, MULTAS, ACCESORIOS Y ACTUALIZACIONES</v>
          </cell>
          <cell r="D89">
            <v>20000</v>
          </cell>
          <cell r="E89">
            <v>10000</v>
          </cell>
          <cell r="F89">
            <v>0</v>
          </cell>
          <cell r="G89">
            <v>30000</v>
          </cell>
          <cell r="H89">
            <v>28571</v>
          </cell>
          <cell r="I89">
            <v>28571</v>
          </cell>
          <cell r="J89">
            <v>28571</v>
          </cell>
          <cell r="K89">
            <v>28571</v>
          </cell>
          <cell r="L89">
            <v>1429</v>
          </cell>
          <cell r="M89">
            <v>1429</v>
          </cell>
        </row>
        <row r="90">
          <cell r="B90">
            <v>4000</v>
          </cell>
          <cell r="C90" t="str">
            <v>TRANSFERENCIAS, ASIGNACIONES, SUBSIDIOS Y OTRAS AY</v>
          </cell>
          <cell r="D90">
            <v>33436316.73</v>
          </cell>
          <cell r="E90">
            <v>33025875</v>
          </cell>
          <cell r="F90">
            <v>0</v>
          </cell>
          <cell r="G90">
            <v>66462191.730000004</v>
          </cell>
          <cell r="H90">
            <v>47431015</v>
          </cell>
          <cell r="I90">
            <v>47431015</v>
          </cell>
          <cell r="J90">
            <v>47431015</v>
          </cell>
          <cell r="K90">
            <v>47431015</v>
          </cell>
          <cell r="L90">
            <v>19031176.730000004</v>
          </cell>
          <cell r="M90">
            <v>19031176.730000004</v>
          </cell>
        </row>
        <row r="91">
          <cell r="B91">
            <v>43101</v>
          </cell>
          <cell r="C91" t="str">
            <v>SUBSIDIOS A LA PRODUCCION</v>
          </cell>
          <cell r="D91">
            <v>32436316.73</v>
          </cell>
          <cell r="E91">
            <v>33025875</v>
          </cell>
          <cell r="F91">
            <v>0</v>
          </cell>
          <cell r="G91">
            <v>65462191.730000004</v>
          </cell>
          <cell r="H91">
            <v>47025875</v>
          </cell>
          <cell r="I91">
            <v>47025875</v>
          </cell>
          <cell r="J91">
            <v>47025875</v>
          </cell>
          <cell r="K91">
            <v>47025875</v>
          </cell>
          <cell r="L91">
            <v>18436316.730000004</v>
          </cell>
          <cell r="M91">
            <v>18436316.730000004</v>
          </cell>
        </row>
        <row r="92">
          <cell r="B92">
            <v>43301</v>
          </cell>
          <cell r="C92" t="str">
            <v>SUBSIDIOS A LA INVERSION</v>
          </cell>
          <cell r="D92">
            <v>1000000</v>
          </cell>
          <cell r="E92">
            <v>0</v>
          </cell>
          <cell r="F92">
            <v>0</v>
          </cell>
          <cell r="G92">
            <v>1000000</v>
          </cell>
          <cell r="H92">
            <v>405140</v>
          </cell>
          <cell r="I92">
            <v>405140</v>
          </cell>
          <cell r="J92">
            <v>405140</v>
          </cell>
          <cell r="K92">
            <v>405140</v>
          </cell>
          <cell r="L92">
            <v>594860</v>
          </cell>
          <cell r="M92">
            <v>594860</v>
          </cell>
        </row>
        <row r="93">
          <cell r="B93">
            <v>5000</v>
          </cell>
          <cell r="C93" t="str">
            <v>BIENES MUEBLES, INMUEBLES E INTANGIBLES</v>
          </cell>
          <cell r="D93">
            <v>0</v>
          </cell>
          <cell r="E93">
            <v>17062.68</v>
          </cell>
          <cell r="F93">
            <v>0</v>
          </cell>
          <cell r="G93">
            <v>17062.68</v>
          </cell>
          <cell r="H93">
            <v>17062.68</v>
          </cell>
          <cell r="I93">
            <v>17062.68</v>
          </cell>
          <cell r="J93">
            <v>17062.68</v>
          </cell>
          <cell r="K93">
            <v>17062.68</v>
          </cell>
          <cell r="L93">
            <v>0</v>
          </cell>
          <cell r="M93">
            <v>0</v>
          </cell>
        </row>
        <row r="94">
          <cell r="B94" t="str">
            <v>51101</v>
          </cell>
          <cell r="C94" t="str">
            <v>Muebles de Oficina y Estanteria</v>
          </cell>
          <cell r="D94">
            <v>0</v>
          </cell>
          <cell r="E94">
            <v>0</v>
          </cell>
          <cell r="F94">
            <v>0</v>
          </cell>
          <cell r="G94">
            <v>0</v>
          </cell>
          <cell r="H94">
            <v>0</v>
          </cell>
          <cell r="I94">
            <v>0</v>
          </cell>
          <cell r="J94">
            <v>0</v>
          </cell>
          <cell r="K94">
            <v>0</v>
          </cell>
          <cell r="L94">
            <v>0</v>
          </cell>
          <cell r="M94">
            <v>0</v>
          </cell>
        </row>
        <row r="95">
          <cell r="B95" t="str">
            <v>51501</v>
          </cell>
          <cell r="C95" t="str">
            <v>Eqpo de Computo y de Tecnologias de la informacion</v>
          </cell>
          <cell r="D95">
            <v>0</v>
          </cell>
          <cell r="E95">
            <v>17062.68</v>
          </cell>
          <cell r="F95">
            <v>0</v>
          </cell>
          <cell r="G95">
            <v>17062.68</v>
          </cell>
          <cell r="H95">
            <v>17062.68</v>
          </cell>
          <cell r="I95">
            <v>17062.68</v>
          </cell>
          <cell r="J95">
            <v>17062.68</v>
          </cell>
          <cell r="K95">
            <v>17062.68</v>
          </cell>
          <cell r="L95">
            <v>0</v>
          </cell>
          <cell r="M95">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ETCA-II-01"/>
    </sheetNames>
    <sheetDataSet>
      <sheetData sheetId="0"/>
      <sheetData sheetId="1">
        <row r="3">
          <cell r="B3" t="str">
            <v xml:space="preserve"> PARTIDA PRESUPUESTAL</v>
          </cell>
          <cell r="C3" t="str">
            <v>DESCRIPCION</v>
          </cell>
          <cell r="D3" t="str">
            <v>PRESUPUESTO AUTORIZADO</v>
          </cell>
          <cell r="E3">
            <v>0</v>
          </cell>
          <cell r="F3">
            <v>0</v>
          </cell>
          <cell r="G3">
            <v>0</v>
          </cell>
          <cell r="H3" t="str">
            <v>COMPROMETIDO</v>
          </cell>
          <cell r="I3" t="str">
            <v>DEVENGADO</v>
          </cell>
          <cell r="J3" t="str">
            <v>EJERCIDO</v>
          </cell>
          <cell r="K3" t="str">
            <v>PAGADO</v>
          </cell>
          <cell r="L3" t="str">
            <v>DISPONIBLE P Comprometer</v>
          </cell>
          <cell r="M3" t="str">
            <v>CREDITO DISPONIBLE</v>
          </cell>
        </row>
        <row r="4">
          <cell r="B4">
            <v>0</v>
          </cell>
          <cell r="C4">
            <v>0</v>
          </cell>
          <cell r="D4" t="str">
            <v>APROBADO</v>
          </cell>
          <cell r="E4" t="str">
            <v>AMPLIACIONES</v>
          </cell>
          <cell r="F4" t="str">
            <v>DEDUCCIONES</v>
          </cell>
          <cell r="G4" t="str">
            <v>MODIFICADO</v>
          </cell>
          <cell r="H4">
            <v>0</v>
          </cell>
          <cell r="I4">
            <v>0</v>
          </cell>
          <cell r="J4">
            <v>0</v>
          </cell>
          <cell r="K4">
            <v>0</v>
          </cell>
          <cell r="L4">
            <v>0</v>
          </cell>
          <cell r="M4">
            <v>0</v>
          </cell>
        </row>
        <row r="5">
          <cell r="B5">
            <v>1000</v>
          </cell>
          <cell r="C5" t="str">
            <v>SERVICIOS PERSONALES</v>
          </cell>
          <cell r="D5">
            <v>21474408.129999995</v>
          </cell>
          <cell r="E5">
            <v>0</v>
          </cell>
          <cell r="F5">
            <v>0</v>
          </cell>
          <cell r="G5">
            <v>21474408.129999995</v>
          </cell>
          <cell r="H5">
            <v>20532256.680000003</v>
          </cell>
          <cell r="I5">
            <v>20532256.680000003</v>
          </cell>
          <cell r="J5">
            <v>20532256.680000003</v>
          </cell>
          <cell r="K5">
            <v>20532256.680000003</v>
          </cell>
          <cell r="L5">
            <v>942151.45000000019</v>
          </cell>
          <cell r="M5">
            <v>942151.45000000019</v>
          </cell>
        </row>
        <row r="6">
          <cell r="B6" t="str">
            <v>11301</v>
          </cell>
          <cell r="C6" t="str">
            <v>Sueldos</v>
          </cell>
          <cell r="D6">
            <v>5444965.6600000001</v>
          </cell>
          <cell r="E6">
            <v>0</v>
          </cell>
          <cell r="F6">
            <v>0</v>
          </cell>
          <cell r="G6">
            <v>5444965.6600000001</v>
          </cell>
          <cell r="H6">
            <v>5349218.26</v>
          </cell>
          <cell r="I6">
            <v>5349218.26</v>
          </cell>
          <cell r="J6">
            <v>5349218.26</v>
          </cell>
          <cell r="K6">
            <v>5349218.26</v>
          </cell>
          <cell r="L6">
            <v>95747.400000000373</v>
          </cell>
          <cell r="M6">
            <v>95747.400000000373</v>
          </cell>
        </row>
        <row r="7">
          <cell r="B7" t="str">
            <v>11303</v>
          </cell>
          <cell r="C7" t="str">
            <v>Remuneraciones Diversas</v>
          </cell>
          <cell r="D7">
            <v>1804239.54</v>
          </cell>
          <cell r="E7">
            <v>0</v>
          </cell>
          <cell r="F7">
            <v>0</v>
          </cell>
          <cell r="G7">
            <v>1804239.54</v>
          </cell>
          <cell r="H7">
            <v>1718192.7000000007</v>
          </cell>
          <cell r="I7">
            <v>1718192.7000000007</v>
          </cell>
          <cell r="J7">
            <v>1718192.7000000007</v>
          </cell>
          <cell r="K7">
            <v>1718192.7000000007</v>
          </cell>
          <cell r="L7">
            <v>86046.839999999385</v>
          </cell>
          <cell r="M7">
            <v>86046.839999999385</v>
          </cell>
        </row>
        <row r="8">
          <cell r="B8" t="str">
            <v>11305</v>
          </cell>
          <cell r="C8" t="str">
            <v>Compensaciones por Riesgos Profesionales</v>
          </cell>
          <cell r="D8">
            <v>0</v>
          </cell>
          <cell r="E8">
            <v>0</v>
          </cell>
          <cell r="F8">
            <v>0</v>
          </cell>
          <cell r="G8">
            <v>0</v>
          </cell>
          <cell r="H8">
            <v>0</v>
          </cell>
          <cell r="I8">
            <v>0</v>
          </cell>
          <cell r="J8">
            <v>0</v>
          </cell>
          <cell r="K8">
            <v>0</v>
          </cell>
          <cell r="L8">
            <v>0</v>
          </cell>
          <cell r="M8">
            <v>0</v>
          </cell>
        </row>
        <row r="9">
          <cell r="B9" t="str">
            <v>11306</v>
          </cell>
          <cell r="C9" t="str">
            <v>Riesgo Laboral</v>
          </cell>
          <cell r="D9">
            <v>4423021.57</v>
          </cell>
          <cell r="E9">
            <v>0</v>
          </cell>
          <cell r="F9">
            <v>0</v>
          </cell>
          <cell r="G9">
            <v>4423021.57</v>
          </cell>
          <cell r="H9">
            <v>5656271.3399999999</v>
          </cell>
          <cell r="I9">
            <v>5656271.3399999999</v>
          </cell>
          <cell r="J9">
            <v>5656271.3399999999</v>
          </cell>
          <cell r="K9">
            <v>5656271.3399999999</v>
          </cell>
          <cell r="L9">
            <v>-1233249.7699999996</v>
          </cell>
          <cell r="M9">
            <v>-1233249.7699999996</v>
          </cell>
        </row>
        <row r="10">
          <cell r="B10" t="str">
            <v>11307</v>
          </cell>
          <cell r="C10" t="str">
            <v>Ayuda Para Habitación</v>
          </cell>
          <cell r="D10">
            <v>1125296.6499999999</v>
          </cell>
          <cell r="E10">
            <v>0</v>
          </cell>
          <cell r="F10">
            <v>0</v>
          </cell>
          <cell r="G10">
            <v>1125296.6499999999</v>
          </cell>
          <cell r="H10">
            <v>1013033.58</v>
          </cell>
          <cell r="I10">
            <v>1013033.58</v>
          </cell>
          <cell r="J10">
            <v>1013033.58</v>
          </cell>
          <cell r="K10">
            <v>1013033.58</v>
          </cell>
          <cell r="L10">
            <v>112263.06999999995</v>
          </cell>
          <cell r="M10">
            <v>112263.06999999995</v>
          </cell>
        </row>
        <row r="11">
          <cell r="B11" t="str">
            <v>11310</v>
          </cell>
          <cell r="C11" t="str">
            <v>Ayuda Energía Electrica</v>
          </cell>
          <cell r="D11">
            <v>750198.79</v>
          </cell>
          <cell r="E11">
            <v>0</v>
          </cell>
          <cell r="F11">
            <v>0</v>
          </cell>
          <cell r="G11">
            <v>750198.79</v>
          </cell>
          <cell r="H11">
            <v>675356.80999999994</v>
          </cell>
          <cell r="I11">
            <v>675356.80999999994</v>
          </cell>
          <cell r="J11">
            <v>675356.80999999994</v>
          </cell>
          <cell r="K11">
            <v>675356.80999999994</v>
          </cell>
          <cell r="L11">
            <v>74841.980000000098</v>
          </cell>
          <cell r="M11">
            <v>74841.980000000098</v>
          </cell>
        </row>
        <row r="12">
          <cell r="B12" t="str">
            <v>13101</v>
          </cell>
          <cell r="C12" t="str">
            <v>Primas y Acred por Años de Servicio Eftvo Prestado</v>
          </cell>
          <cell r="D12">
            <v>175274.27</v>
          </cell>
          <cell r="E12">
            <v>0</v>
          </cell>
          <cell r="F12">
            <v>0</v>
          </cell>
          <cell r="G12">
            <v>175274.27</v>
          </cell>
          <cell r="H12">
            <v>55039.150000000009</v>
          </cell>
          <cell r="I12">
            <v>55039.150000000009</v>
          </cell>
          <cell r="J12">
            <v>55039.150000000009</v>
          </cell>
          <cell r="K12">
            <v>55039.150000000009</v>
          </cell>
          <cell r="L12">
            <v>120235.11999999998</v>
          </cell>
          <cell r="M12">
            <v>120235.11999999998</v>
          </cell>
        </row>
        <row r="13">
          <cell r="B13" t="str">
            <v>13201</v>
          </cell>
          <cell r="C13" t="str">
            <v>Prima Vacacional</v>
          </cell>
          <cell r="D13">
            <v>589735.42000000004</v>
          </cell>
          <cell r="E13">
            <v>0</v>
          </cell>
          <cell r="F13">
            <v>0</v>
          </cell>
          <cell r="G13">
            <v>589735.42000000004</v>
          </cell>
          <cell r="H13">
            <v>95431.53</v>
          </cell>
          <cell r="I13">
            <v>95431.53</v>
          </cell>
          <cell r="J13">
            <v>95431.53</v>
          </cell>
          <cell r="K13">
            <v>95431.53</v>
          </cell>
          <cell r="L13">
            <v>494303.89</v>
          </cell>
          <cell r="M13">
            <v>494303.89</v>
          </cell>
        </row>
        <row r="14">
          <cell r="B14" t="str">
            <v>13202</v>
          </cell>
          <cell r="C14" t="str">
            <v>Gratificaciones por Fin de Año</v>
          </cell>
          <cell r="D14">
            <v>1360110.87</v>
          </cell>
          <cell r="E14">
            <v>0</v>
          </cell>
          <cell r="F14">
            <v>0</v>
          </cell>
          <cell r="G14">
            <v>1360110.87</v>
          </cell>
          <cell r="H14">
            <v>200040.58000000002</v>
          </cell>
          <cell r="I14">
            <v>200040.58000000002</v>
          </cell>
          <cell r="J14">
            <v>200040.58000000002</v>
          </cell>
          <cell r="K14">
            <v>200040.58000000002</v>
          </cell>
          <cell r="L14">
            <v>1160070.29</v>
          </cell>
          <cell r="M14">
            <v>1160070.29</v>
          </cell>
        </row>
        <row r="15">
          <cell r="B15" t="str">
            <v>13203</v>
          </cell>
          <cell r="C15" t="str">
            <v>Compensaciones por Ajuste de Calendario</v>
          </cell>
          <cell r="D15">
            <v>0</v>
          </cell>
          <cell r="E15">
            <v>0</v>
          </cell>
          <cell r="F15">
            <v>0</v>
          </cell>
          <cell r="G15">
            <v>0</v>
          </cell>
          <cell r="H15">
            <v>0</v>
          </cell>
          <cell r="I15">
            <v>0</v>
          </cell>
          <cell r="J15">
            <v>0</v>
          </cell>
          <cell r="K15">
            <v>0</v>
          </cell>
          <cell r="L15">
            <v>0</v>
          </cell>
          <cell r="M15">
            <v>0</v>
          </cell>
        </row>
        <row r="16">
          <cell r="B16" t="str">
            <v>13204</v>
          </cell>
          <cell r="C16" t="str">
            <v>Compensacion por Bono Navideño</v>
          </cell>
          <cell r="D16">
            <v>0</v>
          </cell>
          <cell r="E16">
            <v>0</v>
          </cell>
          <cell r="F16">
            <v>0</v>
          </cell>
          <cell r="G16">
            <v>0</v>
          </cell>
          <cell r="H16">
            <v>0</v>
          </cell>
          <cell r="I16">
            <v>0</v>
          </cell>
          <cell r="J16">
            <v>0</v>
          </cell>
          <cell r="K16">
            <v>0</v>
          </cell>
          <cell r="L16">
            <v>0</v>
          </cell>
          <cell r="M16">
            <v>0</v>
          </cell>
        </row>
        <row r="17">
          <cell r="B17" t="str">
            <v>13403</v>
          </cell>
          <cell r="C17" t="str">
            <v>Estimulos al Personal de Confianza</v>
          </cell>
          <cell r="D17">
            <v>0</v>
          </cell>
          <cell r="E17">
            <v>0</v>
          </cell>
          <cell r="F17">
            <v>0</v>
          </cell>
          <cell r="G17">
            <v>0</v>
          </cell>
          <cell r="H17">
            <v>0</v>
          </cell>
          <cell r="I17">
            <v>0</v>
          </cell>
          <cell r="J17">
            <v>0</v>
          </cell>
          <cell r="K17">
            <v>0</v>
          </cell>
          <cell r="L17">
            <v>0</v>
          </cell>
          <cell r="M17">
            <v>0</v>
          </cell>
        </row>
        <row r="18">
          <cell r="B18" t="str">
            <v>14101</v>
          </cell>
          <cell r="C18" t="str">
            <v>Cuotas por Servicio Medico del Isssteson</v>
          </cell>
          <cell r="D18">
            <v>902295.22</v>
          </cell>
          <cell r="E18">
            <v>0</v>
          </cell>
          <cell r="F18">
            <v>0</v>
          </cell>
          <cell r="G18">
            <v>902295.22</v>
          </cell>
          <cell r="H18">
            <v>962407.8</v>
          </cell>
          <cell r="I18">
            <v>962407.8</v>
          </cell>
          <cell r="J18">
            <v>962407.8</v>
          </cell>
          <cell r="K18">
            <v>962407.8</v>
          </cell>
          <cell r="L18">
            <v>-60112.580000000075</v>
          </cell>
          <cell r="M18">
            <v>-60112.580000000075</v>
          </cell>
        </row>
        <row r="19">
          <cell r="B19" t="str">
            <v>14102</v>
          </cell>
          <cell r="C19" t="str">
            <v>Cuotas por Seguro de Vida Isssteson</v>
          </cell>
          <cell r="D19">
            <v>95.76</v>
          </cell>
          <cell r="E19">
            <v>0</v>
          </cell>
          <cell r="F19">
            <v>0</v>
          </cell>
          <cell r="G19">
            <v>95.76</v>
          </cell>
          <cell r="H19">
            <v>93.499999999999986</v>
          </cell>
          <cell r="I19">
            <v>93.499999999999986</v>
          </cell>
          <cell r="J19">
            <v>93.499999999999986</v>
          </cell>
          <cell r="K19">
            <v>93.499999999999986</v>
          </cell>
          <cell r="L19">
            <v>2.2600000000000193</v>
          </cell>
          <cell r="M19">
            <v>2.2600000000000193</v>
          </cell>
        </row>
        <row r="20">
          <cell r="B20" t="str">
            <v>14103</v>
          </cell>
          <cell r="C20" t="str">
            <v>Cuotas por Seguro de Retiro al Isssteson</v>
          </cell>
          <cell r="D20">
            <v>1486.84</v>
          </cell>
          <cell r="E20">
            <v>0</v>
          </cell>
          <cell r="F20">
            <v>0</v>
          </cell>
          <cell r="G20">
            <v>1486.84</v>
          </cell>
          <cell r="H20">
            <v>1436.96</v>
          </cell>
          <cell r="I20">
            <v>1436.96</v>
          </cell>
          <cell r="J20">
            <v>1436.96</v>
          </cell>
          <cell r="K20">
            <v>1436.96</v>
          </cell>
          <cell r="L20">
            <v>49.879999999999882</v>
          </cell>
          <cell r="M20">
            <v>49.879999999999882</v>
          </cell>
        </row>
        <row r="21">
          <cell r="B21" t="str">
            <v>14104</v>
          </cell>
          <cell r="C21" t="str">
            <v>Asignaciones para Prestamos a Corto Plazo</v>
          </cell>
          <cell r="D21">
            <v>53076.19</v>
          </cell>
          <cell r="E21">
            <v>0</v>
          </cell>
          <cell r="F21">
            <v>0</v>
          </cell>
          <cell r="G21">
            <v>53076.19</v>
          </cell>
          <cell r="H21">
            <v>49175.920000000006</v>
          </cell>
          <cell r="I21">
            <v>49175.920000000006</v>
          </cell>
          <cell r="J21">
            <v>49175.920000000006</v>
          </cell>
          <cell r="K21">
            <v>49175.920000000006</v>
          </cell>
          <cell r="L21">
            <v>3900.2699999999968</v>
          </cell>
          <cell r="M21">
            <v>3900.2699999999968</v>
          </cell>
        </row>
        <row r="22">
          <cell r="B22" t="str">
            <v>14105</v>
          </cell>
          <cell r="C22" t="str">
            <v>Asignaciones para Prestamos Prendarios</v>
          </cell>
          <cell r="D22">
            <v>53076.19</v>
          </cell>
          <cell r="E22">
            <v>0</v>
          </cell>
          <cell r="F22">
            <v>0</v>
          </cell>
          <cell r="G22">
            <v>53076.19</v>
          </cell>
          <cell r="H22">
            <v>49175.920000000006</v>
          </cell>
          <cell r="I22">
            <v>49175.920000000006</v>
          </cell>
          <cell r="J22">
            <v>49175.920000000006</v>
          </cell>
          <cell r="K22">
            <v>49175.920000000006</v>
          </cell>
          <cell r="L22">
            <v>3900.2699999999968</v>
          </cell>
          <cell r="M22">
            <v>3900.2699999999968</v>
          </cell>
        </row>
        <row r="23">
          <cell r="B23" t="str">
            <v>14106</v>
          </cell>
          <cell r="C23" t="str">
            <v>Otras prestaciones de Seguridad Social</v>
          </cell>
          <cell r="D23">
            <v>318457.13</v>
          </cell>
          <cell r="E23">
            <v>0</v>
          </cell>
          <cell r="F23">
            <v>0</v>
          </cell>
          <cell r="G23">
            <v>318457.13</v>
          </cell>
          <cell r="H23">
            <v>245894.48</v>
          </cell>
          <cell r="I23">
            <v>245894.48</v>
          </cell>
          <cell r="J23">
            <v>245894.48</v>
          </cell>
          <cell r="K23">
            <v>245894.48</v>
          </cell>
          <cell r="L23">
            <v>72562.649999999994</v>
          </cell>
          <cell r="M23">
            <v>72562.649999999994</v>
          </cell>
        </row>
        <row r="24">
          <cell r="B24" t="str">
            <v>14107</v>
          </cell>
          <cell r="C24" t="str">
            <v>Cuotas p/Infraestructura,Equipamiento y Mantto Hos</v>
          </cell>
          <cell r="D24">
            <v>106152.39</v>
          </cell>
          <cell r="E24">
            <v>0</v>
          </cell>
          <cell r="F24">
            <v>0</v>
          </cell>
          <cell r="G24">
            <v>106152.39</v>
          </cell>
          <cell r="H24">
            <v>98354.08</v>
          </cell>
          <cell r="I24">
            <v>98354.08</v>
          </cell>
          <cell r="J24">
            <v>98354.08</v>
          </cell>
          <cell r="K24">
            <v>98354.08</v>
          </cell>
          <cell r="L24">
            <v>7798.3099999999977</v>
          </cell>
          <cell r="M24">
            <v>7798.3099999999977</v>
          </cell>
        </row>
        <row r="25">
          <cell r="B25" t="str">
            <v>14201</v>
          </cell>
          <cell r="C25" t="str">
            <v>Cuotas al Fovisssteson</v>
          </cell>
          <cell r="D25">
            <v>424609.5</v>
          </cell>
          <cell r="E25">
            <v>0</v>
          </cell>
          <cell r="F25">
            <v>0</v>
          </cell>
          <cell r="G25">
            <v>424609.5</v>
          </cell>
          <cell r="H25">
            <v>393432.23</v>
          </cell>
          <cell r="I25">
            <v>393432.23</v>
          </cell>
          <cell r="J25">
            <v>393432.23</v>
          </cell>
          <cell r="K25">
            <v>393432.23</v>
          </cell>
          <cell r="L25">
            <v>31177.270000000019</v>
          </cell>
          <cell r="M25">
            <v>31177.270000000019</v>
          </cell>
        </row>
        <row r="26">
          <cell r="B26" t="str">
            <v>14301</v>
          </cell>
          <cell r="C26" t="str">
            <v>Pagas de Defuncion,Pensiones y Jubilaciones</v>
          </cell>
          <cell r="D26">
            <v>1804590.42</v>
          </cell>
          <cell r="E26">
            <v>0</v>
          </cell>
          <cell r="F26">
            <v>0</v>
          </cell>
          <cell r="G26">
            <v>1804590.42</v>
          </cell>
          <cell r="H26">
            <v>1721269.73</v>
          </cell>
          <cell r="I26">
            <v>1721269.73</v>
          </cell>
          <cell r="J26">
            <v>1721269.73</v>
          </cell>
          <cell r="K26">
            <v>1721269.73</v>
          </cell>
          <cell r="L26">
            <v>83320.689999999944</v>
          </cell>
          <cell r="M26">
            <v>83320.689999999944</v>
          </cell>
        </row>
        <row r="27">
          <cell r="B27" t="str">
            <v>17102</v>
          </cell>
          <cell r="C27" t="str">
            <v>Estimulos al Personal</v>
          </cell>
          <cell r="D27">
            <v>2137725.7200000002</v>
          </cell>
          <cell r="E27">
            <v>0</v>
          </cell>
          <cell r="F27">
            <v>0</v>
          </cell>
          <cell r="G27">
            <v>2137725.7200000002</v>
          </cell>
          <cell r="H27">
            <v>2248432.1100000003</v>
          </cell>
          <cell r="I27">
            <v>2248432.1100000003</v>
          </cell>
          <cell r="J27">
            <v>2248432.1100000003</v>
          </cell>
          <cell r="K27">
            <v>2248432.1100000003</v>
          </cell>
          <cell r="L27">
            <v>-110706.39000000013</v>
          </cell>
          <cell r="M27">
            <v>-110706.39000000013</v>
          </cell>
        </row>
        <row r="28">
          <cell r="B28">
            <v>2000</v>
          </cell>
          <cell r="C28" t="str">
            <v>MATERIALES Y SUMINISTROS</v>
          </cell>
          <cell r="D28">
            <v>1586500.06</v>
          </cell>
          <cell r="E28">
            <v>110000</v>
          </cell>
          <cell r="F28">
            <v>110000</v>
          </cell>
          <cell r="G28">
            <v>1586500.06</v>
          </cell>
          <cell r="H28">
            <v>880286.3</v>
          </cell>
          <cell r="I28">
            <v>880286.3</v>
          </cell>
          <cell r="J28">
            <v>880286.3</v>
          </cell>
          <cell r="K28">
            <v>880286.3</v>
          </cell>
          <cell r="L28">
            <v>706213.76</v>
          </cell>
          <cell r="M28">
            <v>706213.76</v>
          </cell>
        </row>
        <row r="29">
          <cell r="B29" t="str">
            <v>21101</v>
          </cell>
          <cell r="C29" t="str">
            <v>Materiales, utiles y equipos menores de oficina</v>
          </cell>
          <cell r="D29">
            <v>400000</v>
          </cell>
          <cell r="E29">
            <v>0</v>
          </cell>
          <cell r="F29">
            <v>100000</v>
          </cell>
          <cell r="G29">
            <v>300000</v>
          </cell>
          <cell r="H29">
            <v>92333.53</v>
          </cell>
          <cell r="I29">
            <v>92333.53</v>
          </cell>
          <cell r="J29">
            <v>92333.53</v>
          </cell>
          <cell r="K29">
            <v>92333.53</v>
          </cell>
          <cell r="L29">
            <v>207666.47</v>
          </cell>
          <cell r="M29">
            <v>207666.47</v>
          </cell>
        </row>
        <row r="30">
          <cell r="B30" t="str">
            <v>21201</v>
          </cell>
          <cell r="C30" t="str">
            <v>Materiales y Utiles de Impresión y Reprodución</v>
          </cell>
          <cell r="D30">
            <v>150000.01</v>
          </cell>
          <cell r="E30">
            <v>0</v>
          </cell>
          <cell r="F30">
            <v>0</v>
          </cell>
          <cell r="G30">
            <v>150000.01</v>
          </cell>
          <cell r="H30">
            <v>127274.48999999999</v>
          </cell>
          <cell r="I30">
            <v>127274.48999999999</v>
          </cell>
          <cell r="J30">
            <v>127274.48999999999</v>
          </cell>
          <cell r="K30">
            <v>127274.48999999999</v>
          </cell>
          <cell r="L30">
            <v>22725.520000000019</v>
          </cell>
          <cell r="M30">
            <v>22725.520000000019</v>
          </cell>
        </row>
        <row r="31">
          <cell r="B31" t="str">
            <v>21501</v>
          </cell>
          <cell r="C31" t="str">
            <v>Material para Información</v>
          </cell>
          <cell r="D31">
            <v>300000</v>
          </cell>
          <cell r="E31">
            <v>100000</v>
          </cell>
          <cell r="F31">
            <v>0</v>
          </cell>
          <cell r="G31">
            <v>400000</v>
          </cell>
          <cell r="H31">
            <v>145976.28</v>
          </cell>
          <cell r="I31">
            <v>145976.28</v>
          </cell>
          <cell r="J31">
            <v>145976.28</v>
          </cell>
          <cell r="K31">
            <v>145976.28</v>
          </cell>
          <cell r="L31">
            <v>254023.72</v>
          </cell>
          <cell r="M31">
            <v>254023.72</v>
          </cell>
        </row>
        <row r="32">
          <cell r="B32" t="str">
            <v>21601</v>
          </cell>
          <cell r="C32" t="str">
            <v>Material de Limpieza</v>
          </cell>
          <cell r="D32">
            <v>10000.01</v>
          </cell>
          <cell r="E32">
            <v>0</v>
          </cell>
          <cell r="F32">
            <v>0</v>
          </cell>
          <cell r="G32">
            <v>10000.01</v>
          </cell>
          <cell r="H32">
            <v>4059.55</v>
          </cell>
          <cell r="I32">
            <v>4059.55</v>
          </cell>
          <cell r="J32">
            <v>4059.55</v>
          </cell>
          <cell r="K32">
            <v>4059.55</v>
          </cell>
          <cell r="L32">
            <v>5940.46</v>
          </cell>
          <cell r="M32">
            <v>5940.46</v>
          </cell>
        </row>
        <row r="33">
          <cell r="B33" t="str">
            <v>21801</v>
          </cell>
          <cell r="C33" t="str">
            <v>Placas, Engomados, Calcomanías y Hologramas</v>
          </cell>
          <cell r="D33">
            <v>10500</v>
          </cell>
          <cell r="E33">
            <v>0</v>
          </cell>
          <cell r="F33">
            <v>0</v>
          </cell>
          <cell r="G33">
            <v>10500</v>
          </cell>
          <cell r="H33">
            <v>10400</v>
          </cell>
          <cell r="I33">
            <v>10400</v>
          </cell>
          <cell r="J33">
            <v>10400</v>
          </cell>
          <cell r="K33">
            <v>10400</v>
          </cell>
          <cell r="L33">
            <v>100</v>
          </cell>
          <cell r="M33">
            <v>100</v>
          </cell>
        </row>
        <row r="34">
          <cell r="B34" t="str">
            <v>22101</v>
          </cell>
          <cell r="C34" t="str">
            <v>Productos Alimenticios p/el Personal en las inst.</v>
          </cell>
          <cell r="D34">
            <v>70000.009999999995</v>
          </cell>
          <cell r="E34">
            <v>10000</v>
          </cell>
          <cell r="F34">
            <v>0</v>
          </cell>
          <cell r="G34">
            <v>80000.009999999995</v>
          </cell>
          <cell r="H34">
            <v>79798.390000000014</v>
          </cell>
          <cell r="I34">
            <v>79798.390000000014</v>
          </cell>
          <cell r="J34">
            <v>79798.390000000014</v>
          </cell>
          <cell r="K34">
            <v>79798.390000000014</v>
          </cell>
          <cell r="L34">
            <v>201.61999999998079</v>
          </cell>
          <cell r="M34">
            <v>201.61999999998079</v>
          </cell>
        </row>
        <row r="35">
          <cell r="B35" t="str">
            <v>22301</v>
          </cell>
          <cell r="C35" t="str">
            <v>Utensilios para el Servicio de Alimentación</v>
          </cell>
          <cell r="D35">
            <v>5000</v>
          </cell>
          <cell r="E35">
            <v>0</v>
          </cell>
          <cell r="F35">
            <v>0</v>
          </cell>
          <cell r="G35">
            <v>5000</v>
          </cell>
          <cell r="H35">
            <v>1533.2800000000002</v>
          </cell>
          <cell r="I35">
            <v>1533.2800000000002</v>
          </cell>
          <cell r="J35">
            <v>1533.2800000000002</v>
          </cell>
          <cell r="K35">
            <v>1533.2800000000002</v>
          </cell>
          <cell r="L35">
            <v>3466.72</v>
          </cell>
          <cell r="M35">
            <v>3466.72</v>
          </cell>
        </row>
        <row r="36">
          <cell r="B36" t="str">
            <v>24101</v>
          </cell>
          <cell r="C36" t="str">
            <v>Productos Minerales NO Métalicos</v>
          </cell>
          <cell r="D36">
            <v>0</v>
          </cell>
          <cell r="E36">
            <v>0</v>
          </cell>
          <cell r="F36">
            <v>0</v>
          </cell>
          <cell r="G36">
            <v>0</v>
          </cell>
          <cell r="H36">
            <v>0</v>
          </cell>
          <cell r="I36">
            <v>0</v>
          </cell>
          <cell r="J36">
            <v>0</v>
          </cell>
          <cell r="K36">
            <v>0</v>
          </cell>
          <cell r="L36">
            <v>0</v>
          </cell>
          <cell r="M36">
            <v>0</v>
          </cell>
        </row>
        <row r="37">
          <cell r="B37" t="str">
            <v>24501</v>
          </cell>
          <cell r="C37" t="str">
            <v>Vidrioy Productos de Vidrio</v>
          </cell>
          <cell r="D37">
            <v>0</v>
          </cell>
          <cell r="E37">
            <v>0</v>
          </cell>
          <cell r="F37">
            <v>0</v>
          </cell>
          <cell r="G37">
            <v>0</v>
          </cell>
          <cell r="H37">
            <v>0</v>
          </cell>
          <cell r="I37">
            <v>0</v>
          </cell>
          <cell r="J37">
            <v>0</v>
          </cell>
          <cell r="K37">
            <v>0</v>
          </cell>
          <cell r="L37">
            <v>0</v>
          </cell>
          <cell r="M37">
            <v>0</v>
          </cell>
        </row>
        <row r="38">
          <cell r="B38" t="str">
            <v>24601</v>
          </cell>
          <cell r="C38" t="str">
            <v>Material Eléctrico y Electrónico</v>
          </cell>
          <cell r="D38">
            <v>0</v>
          </cell>
          <cell r="E38">
            <v>0</v>
          </cell>
          <cell r="F38">
            <v>0</v>
          </cell>
          <cell r="G38">
            <v>0</v>
          </cell>
          <cell r="H38">
            <v>0</v>
          </cell>
          <cell r="I38">
            <v>0</v>
          </cell>
          <cell r="J38">
            <v>0</v>
          </cell>
          <cell r="K38">
            <v>0</v>
          </cell>
          <cell r="L38">
            <v>0</v>
          </cell>
          <cell r="M38">
            <v>0</v>
          </cell>
        </row>
        <row r="39">
          <cell r="B39" t="str">
            <v>24701</v>
          </cell>
          <cell r="C39" t="str">
            <v>Articulos Metálicos para la Construcción</v>
          </cell>
          <cell r="D39">
            <v>0</v>
          </cell>
          <cell r="E39">
            <v>0</v>
          </cell>
          <cell r="F39">
            <v>0</v>
          </cell>
          <cell r="G39">
            <v>0</v>
          </cell>
          <cell r="H39">
            <v>0</v>
          </cell>
          <cell r="I39">
            <v>0</v>
          </cell>
          <cell r="J39">
            <v>0</v>
          </cell>
          <cell r="K39">
            <v>0</v>
          </cell>
          <cell r="L39">
            <v>0</v>
          </cell>
          <cell r="M39">
            <v>0</v>
          </cell>
        </row>
        <row r="40">
          <cell r="B40" t="str">
            <v>24801</v>
          </cell>
          <cell r="C40" t="str">
            <v>Materiales Complementarios</v>
          </cell>
          <cell r="D40">
            <v>10000.01</v>
          </cell>
          <cell r="E40">
            <v>0</v>
          </cell>
          <cell r="F40">
            <v>10000</v>
          </cell>
          <cell r="G40">
            <v>1.0000000000218279E-2</v>
          </cell>
          <cell r="H40">
            <v>0</v>
          </cell>
          <cell r="I40">
            <v>0</v>
          </cell>
          <cell r="J40">
            <v>0</v>
          </cell>
          <cell r="K40">
            <v>0</v>
          </cell>
          <cell r="L40">
            <v>1.0000000000218279E-2</v>
          </cell>
          <cell r="M40">
            <v>1.0000000000218279E-2</v>
          </cell>
        </row>
        <row r="41">
          <cell r="B41" t="str">
            <v>25301</v>
          </cell>
          <cell r="C41" t="str">
            <v>Medicinas y Productos Farmaceuticos</v>
          </cell>
          <cell r="D41">
            <v>1000</v>
          </cell>
          <cell r="E41">
            <v>0</v>
          </cell>
          <cell r="F41">
            <v>0</v>
          </cell>
          <cell r="G41">
            <v>1000</v>
          </cell>
          <cell r="H41">
            <v>0</v>
          </cell>
          <cell r="I41">
            <v>0</v>
          </cell>
          <cell r="J41">
            <v>0</v>
          </cell>
          <cell r="K41">
            <v>0</v>
          </cell>
          <cell r="L41">
            <v>1000</v>
          </cell>
          <cell r="M41">
            <v>1000</v>
          </cell>
        </row>
        <row r="42">
          <cell r="B42" t="str">
            <v>26101</v>
          </cell>
          <cell r="C42" t="str">
            <v>Combustibles</v>
          </cell>
          <cell r="D42">
            <v>300000</v>
          </cell>
          <cell r="E42">
            <v>0</v>
          </cell>
          <cell r="F42">
            <v>0</v>
          </cell>
          <cell r="G42">
            <v>300000</v>
          </cell>
          <cell r="H42">
            <v>285316.41000000003</v>
          </cell>
          <cell r="I42">
            <v>285316.41000000003</v>
          </cell>
          <cell r="J42">
            <v>285316.41000000003</v>
          </cell>
          <cell r="K42">
            <v>285316.41000000003</v>
          </cell>
          <cell r="L42">
            <v>14683.589999999967</v>
          </cell>
          <cell r="M42">
            <v>14683.589999999967</v>
          </cell>
        </row>
        <row r="43">
          <cell r="B43" t="str">
            <v>27101</v>
          </cell>
          <cell r="C43" t="str">
            <v>Vestuario y Uniformes</v>
          </cell>
          <cell r="D43">
            <v>0</v>
          </cell>
          <cell r="E43">
            <v>0</v>
          </cell>
          <cell r="F43">
            <v>0</v>
          </cell>
          <cell r="G43">
            <v>0</v>
          </cell>
          <cell r="H43">
            <v>0</v>
          </cell>
          <cell r="I43">
            <v>0</v>
          </cell>
          <cell r="J43">
            <v>0</v>
          </cell>
          <cell r="K43">
            <v>0</v>
          </cell>
          <cell r="L43">
            <v>0</v>
          </cell>
          <cell r="M43">
            <v>0</v>
          </cell>
        </row>
        <row r="44">
          <cell r="B44" t="str">
            <v>29101</v>
          </cell>
          <cell r="C44" t="str">
            <v>Herramientas Menores</v>
          </cell>
          <cell r="D44">
            <v>100000.01</v>
          </cell>
          <cell r="E44">
            <v>0</v>
          </cell>
          <cell r="F44">
            <v>0</v>
          </cell>
          <cell r="G44">
            <v>100000.01</v>
          </cell>
          <cell r="H44">
            <v>48051.619999999995</v>
          </cell>
          <cell r="I44">
            <v>48051.619999999995</v>
          </cell>
          <cell r="J44">
            <v>48051.619999999995</v>
          </cell>
          <cell r="K44">
            <v>48051.619999999995</v>
          </cell>
          <cell r="L44">
            <v>51948.39</v>
          </cell>
          <cell r="M44">
            <v>51948.39</v>
          </cell>
        </row>
        <row r="45">
          <cell r="B45" t="str">
            <v>29401</v>
          </cell>
          <cell r="C45" t="str">
            <v>Refac y accs menores de eq. computo y tec de infor</v>
          </cell>
          <cell r="D45">
            <v>80000</v>
          </cell>
          <cell r="E45">
            <v>0</v>
          </cell>
          <cell r="F45">
            <v>0</v>
          </cell>
          <cell r="G45">
            <v>80000</v>
          </cell>
          <cell r="H45">
            <v>27785.79</v>
          </cell>
          <cell r="I45">
            <v>27785.79</v>
          </cell>
          <cell r="J45">
            <v>27785.79</v>
          </cell>
          <cell r="K45">
            <v>27785.79</v>
          </cell>
          <cell r="L45">
            <v>52214.21</v>
          </cell>
          <cell r="M45">
            <v>52214.21</v>
          </cell>
        </row>
        <row r="46">
          <cell r="B46" t="str">
            <v>29601</v>
          </cell>
          <cell r="C46" t="str">
            <v>Refacc y Accs Menores de Eq Transporte</v>
          </cell>
          <cell r="D46">
            <v>150000.01</v>
          </cell>
          <cell r="E46">
            <v>0</v>
          </cell>
          <cell r="F46">
            <v>0</v>
          </cell>
          <cell r="G46">
            <v>150000.01</v>
          </cell>
          <cell r="H46">
            <v>57756.959999999999</v>
          </cell>
          <cell r="I46">
            <v>57756.959999999999</v>
          </cell>
          <cell r="J46">
            <v>57756.959999999999</v>
          </cell>
          <cell r="K46">
            <v>57756.959999999999</v>
          </cell>
          <cell r="L46">
            <v>92243.050000000017</v>
          </cell>
          <cell r="M46">
            <v>92243.050000000017</v>
          </cell>
        </row>
        <row r="47">
          <cell r="B47">
            <v>3000</v>
          </cell>
          <cell r="C47" t="str">
            <v>SERVICIOS GENERALES</v>
          </cell>
          <cell r="D47">
            <v>39361928.079999991</v>
          </cell>
          <cell r="E47">
            <v>7780447.6299999999</v>
          </cell>
          <cell r="F47">
            <v>697662.67999999993</v>
          </cell>
          <cell r="G47">
            <v>46444713.030000001</v>
          </cell>
          <cell r="H47">
            <v>23067638.18</v>
          </cell>
          <cell r="I47">
            <v>23067638.099999998</v>
          </cell>
          <cell r="J47">
            <v>23067638.099999998</v>
          </cell>
          <cell r="K47">
            <v>23067638.099999998</v>
          </cell>
          <cell r="L47">
            <v>23837474.850000005</v>
          </cell>
          <cell r="M47">
            <v>23837474.930000007</v>
          </cell>
        </row>
        <row r="48">
          <cell r="B48" t="str">
            <v>31101</v>
          </cell>
          <cell r="C48" t="str">
            <v>Energia Electrica</v>
          </cell>
          <cell r="D48">
            <v>1000000</v>
          </cell>
          <cell r="E48">
            <v>0</v>
          </cell>
          <cell r="F48">
            <v>0</v>
          </cell>
          <cell r="G48">
            <v>1000000</v>
          </cell>
          <cell r="H48">
            <v>580035.23</v>
          </cell>
          <cell r="I48">
            <v>580035.23</v>
          </cell>
          <cell r="J48">
            <v>580035.23</v>
          </cell>
          <cell r="K48">
            <v>580035.23</v>
          </cell>
          <cell r="L48">
            <v>419964.77</v>
          </cell>
          <cell r="M48">
            <v>419964.77</v>
          </cell>
        </row>
        <row r="49">
          <cell r="B49" t="str">
            <v>31301</v>
          </cell>
          <cell r="C49" t="str">
            <v>Agua</v>
          </cell>
          <cell r="D49">
            <v>59999.99</v>
          </cell>
          <cell r="E49">
            <v>0</v>
          </cell>
          <cell r="F49">
            <v>0</v>
          </cell>
          <cell r="G49">
            <v>59999.99</v>
          </cell>
          <cell r="H49">
            <v>38910.15</v>
          </cell>
          <cell r="I49">
            <v>38910.15</v>
          </cell>
          <cell r="J49">
            <v>38910.15</v>
          </cell>
          <cell r="K49">
            <v>38910.15</v>
          </cell>
          <cell r="L49">
            <v>21089.839999999997</v>
          </cell>
          <cell r="M49">
            <v>21089.839999999997</v>
          </cell>
        </row>
        <row r="50">
          <cell r="B50" t="str">
            <v>31401</v>
          </cell>
          <cell r="C50" t="str">
            <v>Telefonia Tradicional</v>
          </cell>
          <cell r="D50">
            <v>500000.01</v>
          </cell>
          <cell r="E50">
            <v>0</v>
          </cell>
          <cell r="F50">
            <v>0</v>
          </cell>
          <cell r="G50">
            <v>500000.01</v>
          </cell>
          <cell r="H50">
            <v>376146.74</v>
          </cell>
          <cell r="I50">
            <v>376146.74</v>
          </cell>
          <cell r="J50">
            <v>376146.74</v>
          </cell>
          <cell r="K50">
            <v>376146.74</v>
          </cell>
          <cell r="L50">
            <v>123853.27000000002</v>
          </cell>
          <cell r="M50">
            <v>123853.27000000002</v>
          </cell>
        </row>
        <row r="51">
          <cell r="B51" t="str">
            <v>31501</v>
          </cell>
          <cell r="C51" t="str">
            <v>Telefonia Celular</v>
          </cell>
          <cell r="D51">
            <v>150000.01</v>
          </cell>
          <cell r="E51">
            <v>0</v>
          </cell>
          <cell r="F51">
            <v>0</v>
          </cell>
          <cell r="G51">
            <v>150000.01</v>
          </cell>
          <cell r="H51">
            <v>53383</v>
          </cell>
          <cell r="I51">
            <v>53383</v>
          </cell>
          <cell r="J51">
            <v>53383</v>
          </cell>
          <cell r="K51">
            <v>53383</v>
          </cell>
          <cell r="L51">
            <v>96617.010000000009</v>
          </cell>
          <cell r="M51">
            <v>96617.010000000009</v>
          </cell>
        </row>
        <row r="52">
          <cell r="B52" t="str">
            <v>31701</v>
          </cell>
          <cell r="C52" t="str">
            <v>Serv Acceso Internet, Redes y Proces de Informacio</v>
          </cell>
          <cell r="D52">
            <v>25000</v>
          </cell>
          <cell r="E52">
            <v>0</v>
          </cell>
          <cell r="F52">
            <v>0</v>
          </cell>
          <cell r="G52">
            <v>25000</v>
          </cell>
          <cell r="H52">
            <v>9003</v>
          </cell>
          <cell r="I52">
            <v>9003</v>
          </cell>
          <cell r="J52">
            <v>9003</v>
          </cell>
          <cell r="K52">
            <v>9003</v>
          </cell>
          <cell r="L52">
            <v>15997</v>
          </cell>
          <cell r="M52">
            <v>15997</v>
          </cell>
        </row>
        <row r="53">
          <cell r="B53" t="str">
            <v>31801</v>
          </cell>
          <cell r="C53" t="str">
            <v>Servicio Postal</v>
          </cell>
          <cell r="D53">
            <v>200000</v>
          </cell>
          <cell r="E53">
            <v>0</v>
          </cell>
          <cell r="F53">
            <v>0</v>
          </cell>
          <cell r="G53">
            <v>200000</v>
          </cell>
          <cell r="H53">
            <v>89020.529999999984</v>
          </cell>
          <cell r="I53">
            <v>89020.529999999984</v>
          </cell>
          <cell r="J53">
            <v>89020.529999999984</v>
          </cell>
          <cell r="K53">
            <v>89020.529999999984</v>
          </cell>
          <cell r="L53">
            <v>110979.47000000002</v>
          </cell>
          <cell r="M53">
            <v>110979.47000000002</v>
          </cell>
        </row>
        <row r="54">
          <cell r="B54" t="str">
            <v>32201</v>
          </cell>
          <cell r="C54" t="str">
            <v>Arrendamiento de Edificios</v>
          </cell>
          <cell r="D54">
            <v>2300500.0099999998</v>
          </cell>
          <cell r="E54">
            <v>0</v>
          </cell>
          <cell r="F54">
            <v>0</v>
          </cell>
          <cell r="G54">
            <v>2300500.0099999998</v>
          </cell>
          <cell r="H54">
            <v>2154408.19</v>
          </cell>
          <cell r="I54">
            <v>2154408.11</v>
          </cell>
          <cell r="J54">
            <v>2154408.11</v>
          </cell>
          <cell r="K54">
            <v>2154408.11</v>
          </cell>
          <cell r="L54">
            <v>146091.81999999983</v>
          </cell>
          <cell r="M54">
            <v>146091.89999999991</v>
          </cell>
        </row>
        <row r="55">
          <cell r="B55" t="str">
            <v>32301</v>
          </cell>
          <cell r="C55" t="str">
            <v>Arrendamiento Muebles, Maq y Eqpo</v>
          </cell>
          <cell r="D55">
            <v>100000.01</v>
          </cell>
          <cell r="E55">
            <v>30000</v>
          </cell>
          <cell r="F55">
            <v>0</v>
          </cell>
          <cell r="G55">
            <v>130000.01</v>
          </cell>
          <cell r="H55">
            <v>120765.66</v>
          </cell>
          <cell r="I55">
            <v>120765.66</v>
          </cell>
          <cell r="J55">
            <v>120765.66</v>
          </cell>
          <cell r="K55">
            <v>120765.66</v>
          </cell>
          <cell r="L55">
            <v>9234.3499999999913</v>
          </cell>
          <cell r="M55">
            <v>9234.3499999999913</v>
          </cell>
        </row>
        <row r="56">
          <cell r="B56" t="str">
            <v>32501</v>
          </cell>
          <cell r="C56" t="str">
            <v>Arrendamiento Eqpo de Transporte</v>
          </cell>
          <cell r="D56">
            <v>350000.01</v>
          </cell>
          <cell r="E56">
            <v>0</v>
          </cell>
          <cell r="F56">
            <v>0</v>
          </cell>
          <cell r="G56">
            <v>350000.01</v>
          </cell>
          <cell r="H56">
            <v>141737.60000000001</v>
          </cell>
          <cell r="I56">
            <v>141737.60000000001</v>
          </cell>
          <cell r="J56">
            <v>141737.60000000001</v>
          </cell>
          <cell r="K56">
            <v>141737.60000000001</v>
          </cell>
          <cell r="L56">
            <v>208262.41</v>
          </cell>
          <cell r="M56">
            <v>208262.41</v>
          </cell>
        </row>
        <row r="57">
          <cell r="B57" t="str">
            <v>33101</v>
          </cell>
          <cell r="C57" t="str">
            <v>Servs Legales,de Contabilidad,Auditorias y Relacio</v>
          </cell>
          <cell r="D57">
            <v>1100000</v>
          </cell>
          <cell r="E57">
            <v>0</v>
          </cell>
          <cell r="F57">
            <v>230200</v>
          </cell>
          <cell r="G57">
            <v>869800</v>
          </cell>
          <cell r="H57">
            <v>579054.26</v>
          </cell>
          <cell r="I57">
            <v>579054.26</v>
          </cell>
          <cell r="J57">
            <v>579054.26</v>
          </cell>
          <cell r="K57">
            <v>579054.26</v>
          </cell>
          <cell r="L57">
            <v>751145.74</v>
          </cell>
          <cell r="M57">
            <v>751145.74</v>
          </cell>
        </row>
        <row r="58">
          <cell r="B58">
            <v>33201</v>
          </cell>
          <cell r="C58" t="str">
            <v>Servicios de Diseño, Arquitectura,Ingenieria y Act</v>
          </cell>
          <cell r="D58">
            <v>0</v>
          </cell>
          <cell r="E58">
            <v>230200</v>
          </cell>
          <cell r="F58">
            <v>0</v>
          </cell>
          <cell r="G58">
            <v>230200</v>
          </cell>
          <cell r="H58">
            <v>230190.4</v>
          </cell>
          <cell r="I58">
            <v>230190.4</v>
          </cell>
          <cell r="J58">
            <v>230190.4</v>
          </cell>
          <cell r="K58">
            <v>230190.4</v>
          </cell>
          <cell r="L58">
            <v>9.6000000000058208</v>
          </cell>
          <cell r="M58">
            <v>9.6000000000058208</v>
          </cell>
        </row>
        <row r="59">
          <cell r="B59" t="str">
            <v>33301</v>
          </cell>
          <cell r="C59" t="str">
            <v>Servicos de Informatica</v>
          </cell>
          <cell r="D59">
            <v>25000</v>
          </cell>
          <cell r="E59">
            <v>0</v>
          </cell>
          <cell r="F59">
            <v>0</v>
          </cell>
          <cell r="G59">
            <v>25000</v>
          </cell>
          <cell r="H59">
            <v>0</v>
          </cell>
          <cell r="I59">
            <v>0</v>
          </cell>
          <cell r="J59">
            <v>0</v>
          </cell>
          <cell r="K59">
            <v>0</v>
          </cell>
          <cell r="L59">
            <v>25000</v>
          </cell>
          <cell r="M59">
            <v>25000</v>
          </cell>
        </row>
        <row r="60">
          <cell r="B60" t="str">
            <v>33302</v>
          </cell>
          <cell r="C60" t="str">
            <v>Servicios de Consultoria</v>
          </cell>
          <cell r="D60">
            <v>8000000</v>
          </cell>
          <cell r="E60">
            <v>0</v>
          </cell>
          <cell r="F60">
            <v>0</v>
          </cell>
          <cell r="G60">
            <v>8000000</v>
          </cell>
          <cell r="H60">
            <v>7239864.8200000003</v>
          </cell>
          <cell r="I60">
            <v>7239864.8200000003</v>
          </cell>
          <cell r="J60">
            <v>7239864.8200000003</v>
          </cell>
          <cell r="K60">
            <v>7239864.8200000003</v>
          </cell>
          <cell r="L60">
            <v>760135.1799999997</v>
          </cell>
          <cell r="M60">
            <v>760135.1799999997</v>
          </cell>
        </row>
        <row r="61">
          <cell r="B61" t="str">
            <v>33401</v>
          </cell>
          <cell r="C61" t="str">
            <v>Servicios de Capacitacion</v>
          </cell>
          <cell r="D61">
            <v>10000.01</v>
          </cell>
          <cell r="E61">
            <v>0</v>
          </cell>
          <cell r="F61">
            <v>0</v>
          </cell>
          <cell r="G61">
            <v>10000.01</v>
          </cell>
          <cell r="H61">
            <v>8120</v>
          </cell>
          <cell r="I61">
            <v>8120</v>
          </cell>
          <cell r="J61">
            <v>8120</v>
          </cell>
          <cell r="K61">
            <v>8120</v>
          </cell>
          <cell r="L61">
            <v>1880.0100000000002</v>
          </cell>
          <cell r="M61">
            <v>1880.0100000000002</v>
          </cell>
        </row>
        <row r="62">
          <cell r="B62" t="str">
            <v>33603</v>
          </cell>
          <cell r="C62" t="str">
            <v>Impresiones y Publicaciones Oficiales</v>
          </cell>
          <cell r="D62">
            <v>0</v>
          </cell>
          <cell r="E62">
            <v>0</v>
          </cell>
          <cell r="F62">
            <v>0</v>
          </cell>
          <cell r="G62">
            <v>0</v>
          </cell>
          <cell r="H62">
            <v>0</v>
          </cell>
          <cell r="I62">
            <v>0</v>
          </cell>
          <cell r="J62">
            <v>0</v>
          </cell>
          <cell r="K62">
            <v>0</v>
          </cell>
          <cell r="L62">
            <v>0</v>
          </cell>
          <cell r="M62">
            <v>0</v>
          </cell>
        </row>
        <row r="63">
          <cell r="B63" t="str">
            <v>33801</v>
          </cell>
          <cell r="C63" t="str">
            <v>Servicio de Vigilancia</v>
          </cell>
          <cell r="D63">
            <v>430000</v>
          </cell>
          <cell r="E63">
            <v>140300</v>
          </cell>
          <cell r="F63">
            <v>0</v>
          </cell>
          <cell r="G63">
            <v>570300</v>
          </cell>
          <cell r="H63">
            <v>570206.92000000004</v>
          </cell>
          <cell r="I63">
            <v>570206.92000000004</v>
          </cell>
          <cell r="J63">
            <v>570206.92000000004</v>
          </cell>
          <cell r="K63">
            <v>570206.92000000004</v>
          </cell>
          <cell r="L63">
            <v>93.07999999995809</v>
          </cell>
          <cell r="M63">
            <v>93.07999999995809</v>
          </cell>
        </row>
        <row r="64">
          <cell r="B64" t="str">
            <v>33901</v>
          </cell>
          <cell r="C64" t="str">
            <v>Servicios, Profesionales, Cientificos y Tenicos In</v>
          </cell>
          <cell r="D64">
            <v>750000</v>
          </cell>
          <cell r="E64">
            <v>117000</v>
          </cell>
          <cell r="F64">
            <v>0</v>
          </cell>
          <cell r="G64">
            <v>867000</v>
          </cell>
          <cell r="H64">
            <v>866876.31</v>
          </cell>
          <cell r="I64">
            <v>866876.31</v>
          </cell>
          <cell r="J64">
            <v>866876.31</v>
          </cell>
          <cell r="K64">
            <v>866876.31</v>
          </cell>
          <cell r="L64">
            <v>123.68999999994412</v>
          </cell>
          <cell r="M64">
            <v>123.68999999994412</v>
          </cell>
        </row>
        <row r="65">
          <cell r="B65" t="str">
            <v>34101</v>
          </cell>
          <cell r="C65" t="str">
            <v>Servicios Financieros y Bancarios</v>
          </cell>
          <cell r="D65">
            <v>10000.01</v>
          </cell>
          <cell r="E65">
            <v>0</v>
          </cell>
          <cell r="F65">
            <v>0</v>
          </cell>
          <cell r="G65">
            <v>10000.01</v>
          </cell>
          <cell r="H65">
            <v>7596.7000000000007</v>
          </cell>
          <cell r="I65">
            <v>7596.7000000000007</v>
          </cell>
          <cell r="J65">
            <v>7596.7000000000007</v>
          </cell>
          <cell r="K65">
            <v>7596.7000000000007</v>
          </cell>
          <cell r="L65">
            <v>2403.3099999999995</v>
          </cell>
          <cell r="M65">
            <v>2403.3099999999995</v>
          </cell>
        </row>
        <row r="66">
          <cell r="B66" t="str">
            <v>34401</v>
          </cell>
          <cell r="C66" t="str">
            <v>Seguros de Responsabilidad Patrimonial y Fianzas</v>
          </cell>
          <cell r="D66">
            <v>350000.01</v>
          </cell>
          <cell r="E66">
            <v>0</v>
          </cell>
          <cell r="F66">
            <v>20000</v>
          </cell>
          <cell r="G66">
            <v>330000.01</v>
          </cell>
          <cell r="H66">
            <v>185330.28999999998</v>
          </cell>
          <cell r="I66">
            <v>185330.28999999998</v>
          </cell>
          <cell r="J66">
            <v>185330.28999999998</v>
          </cell>
          <cell r="K66">
            <v>185330.28999999998</v>
          </cell>
          <cell r="L66">
            <v>144669.72000000003</v>
          </cell>
          <cell r="M66">
            <v>144669.72000000003</v>
          </cell>
        </row>
        <row r="67">
          <cell r="B67" t="str">
            <v>34501</v>
          </cell>
          <cell r="C67" t="str">
            <v>Seguro de Bienes Patrimoniales</v>
          </cell>
          <cell r="D67">
            <v>59999.99</v>
          </cell>
          <cell r="E67">
            <v>27800</v>
          </cell>
          <cell r="F67">
            <v>0</v>
          </cell>
          <cell r="G67">
            <v>87799.989999999991</v>
          </cell>
          <cell r="H67">
            <v>87783.330000000016</v>
          </cell>
          <cell r="I67">
            <v>87783.330000000016</v>
          </cell>
          <cell r="J67">
            <v>87783.330000000016</v>
          </cell>
          <cell r="K67">
            <v>87783.330000000016</v>
          </cell>
          <cell r="L67">
            <v>16.659999999974389</v>
          </cell>
          <cell r="M67">
            <v>16.659999999974389</v>
          </cell>
        </row>
        <row r="68">
          <cell r="B68" t="str">
            <v>34701</v>
          </cell>
          <cell r="C68" t="str">
            <v>Fletes y Maniobras</v>
          </cell>
          <cell r="D68">
            <v>10000.01</v>
          </cell>
          <cell r="E68">
            <v>0</v>
          </cell>
          <cell r="F68">
            <v>0</v>
          </cell>
          <cell r="G68">
            <v>10000.01</v>
          </cell>
          <cell r="H68">
            <v>3480</v>
          </cell>
          <cell r="I68">
            <v>3480</v>
          </cell>
          <cell r="J68">
            <v>3480</v>
          </cell>
          <cell r="K68">
            <v>3480</v>
          </cell>
          <cell r="L68">
            <v>6520.01</v>
          </cell>
          <cell r="M68">
            <v>6520.01</v>
          </cell>
        </row>
        <row r="69">
          <cell r="B69" t="str">
            <v>35101</v>
          </cell>
          <cell r="C69" t="str">
            <v>Mantenimiento y Conservacion de Inmuebles</v>
          </cell>
          <cell r="D69">
            <v>1200000</v>
          </cell>
          <cell r="E69">
            <v>0</v>
          </cell>
          <cell r="F69">
            <v>0</v>
          </cell>
          <cell r="G69">
            <v>1200000</v>
          </cell>
          <cell r="H69">
            <v>910097.28</v>
          </cell>
          <cell r="I69">
            <v>910097.28</v>
          </cell>
          <cell r="J69">
            <v>910097.28</v>
          </cell>
          <cell r="K69">
            <v>910097.28</v>
          </cell>
          <cell r="L69">
            <v>289902.71999999997</v>
          </cell>
          <cell r="M69">
            <v>289902.71999999997</v>
          </cell>
        </row>
        <row r="70">
          <cell r="B70" t="str">
            <v>35201</v>
          </cell>
          <cell r="C70" t="str">
            <v>Mantenimiento y Conservacion de Mob y Eqpo</v>
          </cell>
          <cell r="D70">
            <v>10000.01</v>
          </cell>
          <cell r="E70">
            <v>0</v>
          </cell>
          <cell r="F70">
            <v>0</v>
          </cell>
          <cell r="G70">
            <v>10000.01</v>
          </cell>
          <cell r="H70">
            <v>0</v>
          </cell>
          <cell r="I70">
            <v>0</v>
          </cell>
          <cell r="J70">
            <v>0</v>
          </cell>
          <cell r="K70">
            <v>0</v>
          </cell>
          <cell r="L70">
            <v>10000.01</v>
          </cell>
          <cell r="M70">
            <v>10000.01</v>
          </cell>
        </row>
        <row r="71">
          <cell r="B71" t="str">
            <v>35301</v>
          </cell>
          <cell r="C71" t="str">
            <v>Instalaciones</v>
          </cell>
          <cell r="D71">
            <v>50000</v>
          </cell>
          <cell r="E71">
            <v>0</v>
          </cell>
          <cell r="F71">
            <v>0</v>
          </cell>
          <cell r="G71">
            <v>50000</v>
          </cell>
          <cell r="H71">
            <v>4760.84</v>
          </cell>
          <cell r="I71">
            <v>4760.84</v>
          </cell>
          <cell r="J71">
            <v>4760.84</v>
          </cell>
          <cell r="K71">
            <v>4760.84</v>
          </cell>
          <cell r="L71">
            <v>45239.16</v>
          </cell>
          <cell r="M71">
            <v>45239.16</v>
          </cell>
        </row>
        <row r="72">
          <cell r="B72" t="str">
            <v>35302</v>
          </cell>
          <cell r="C72" t="str">
            <v>Mantto y Conservacion de Bienes Informaticos</v>
          </cell>
          <cell r="D72">
            <v>70000.009999999995</v>
          </cell>
          <cell r="E72">
            <v>15300</v>
          </cell>
          <cell r="F72">
            <v>0</v>
          </cell>
          <cell r="G72">
            <v>85300.01</v>
          </cell>
          <cell r="H72">
            <v>85289.489999999991</v>
          </cell>
          <cell r="I72">
            <v>85289.489999999991</v>
          </cell>
          <cell r="J72">
            <v>85289.489999999991</v>
          </cell>
          <cell r="K72">
            <v>85289.489999999991</v>
          </cell>
          <cell r="L72">
            <v>10.520000000004075</v>
          </cell>
          <cell r="M72">
            <v>10.520000000004075</v>
          </cell>
        </row>
        <row r="73">
          <cell r="B73" t="str">
            <v>35501</v>
          </cell>
          <cell r="C73" t="str">
            <v>Mantto y Conservacion Eqpo de Transporte</v>
          </cell>
          <cell r="D73">
            <v>250000</v>
          </cell>
          <cell r="E73">
            <v>0</v>
          </cell>
          <cell r="F73">
            <v>0</v>
          </cell>
          <cell r="G73">
            <v>250000</v>
          </cell>
          <cell r="H73">
            <v>87996.299999999988</v>
          </cell>
          <cell r="I73">
            <v>87996.299999999988</v>
          </cell>
          <cell r="J73">
            <v>87996.299999999988</v>
          </cell>
          <cell r="K73">
            <v>87996.299999999988</v>
          </cell>
          <cell r="L73">
            <v>162003.70000000001</v>
          </cell>
          <cell r="M73">
            <v>162003.70000000001</v>
          </cell>
        </row>
        <row r="74">
          <cell r="B74" t="str">
            <v>35701</v>
          </cell>
          <cell r="C74" t="str">
            <v>Mantenimiento y Conservacion de Maq y Eqpo</v>
          </cell>
          <cell r="D74">
            <v>59999.99</v>
          </cell>
          <cell r="E74">
            <v>0</v>
          </cell>
          <cell r="F74">
            <v>0</v>
          </cell>
          <cell r="G74">
            <v>59999.99</v>
          </cell>
          <cell r="H74">
            <v>50291.519999999997</v>
          </cell>
          <cell r="I74">
            <v>50291.519999999997</v>
          </cell>
          <cell r="J74">
            <v>50291.519999999997</v>
          </cell>
          <cell r="K74">
            <v>50291.519999999997</v>
          </cell>
          <cell r="L74">
            <v>9708.4700000000012</v>
          </cell>
          <cell r="M74">
            <v>9708.4700000000012</v>
          </cell>
        </row>
        <row r="75">
          <cell r="B75" t="str">
            <v>35901</v>
          </cell>
          <cell r="C75" t="str">
            <v>Servicios de Jardineria y Fumigacion</v>
          </cell>
          <cell r="D75">
            <v>90000</v>
          </cell>
          <cell r="E75">
            <v>0</v>
          </cell>
          <cell r="F75">
            <v>0</v>
          </cell>
          <cell r="G75">
            <v>90000</v>
          </cell>
          <cell r="H75">
            <v>80959.710000000006</v>
          </cell>
          <cell r="I75">
            <v>80959.709999999992</v>
          </cell>
          <cell r="J75">
            <v>80959.709999999992</v>
          </cell>
          <cell r="K75">
            <v>80959.709999999992</v>
          </cell>
          <cell r="L75">
            <v>9040.2899999999936</v>
          </cell>
          <cell r="M75">
            <v>9040.2900000000081</v>
          </cell>
        </row>
        <row r="76">
          <cell r="B76" t="str">
            <v>36101</v>
          </cell>
          <cell r="C76" t="str">
            <v>Difusion por Radio,TV y otros Medios de Mensajes s</v>
          </cell>
          <cell r="D76">
            <v>9999999.9900000002</v>
          </cell>
          <cell r="E76">
            <v>906118.88</v>
          </cell>
          <cell r="F76">
            <v>0</v>
          </cell>
          <cell r="G76">
            <v>10906118.870000001</v>
          </cell>
          <cell r="H76">
            <v>906118.86</v>
          </cell>
          <cell r="I76">
            <v>906118.86</v>
          </cell>
          <cell r="J76">
            <v>906118.86</v>
          </cell>
          <cell r="K76">
            <v>906118.86</v>
          </cell>
          <cell r="L76">
            <v>10000000.010000002</v>
          </cell>
          <cell r="M76">
            <v>10000000.010000002</v>
          </cell>
        </row>
        <row r="77">
          <cell r="B77" t="str">
            <v>36201</v>
          </cell>
          <cell r="C77" t="str">
            <v>Difusion por Radio,TV y Otros Medios de Mensajes C</v>
          </cell>
          <cell r="D77">
            <v>500000.01</v>
          </cell>
          <cell r="E77">
            <v>0</v>
          </cell>
          <cell r="F77">
            <v>105000</v>
          </cell>
          <cell r="G77">
            <v>395000.01</v>
          </cell>
          <cell r="H77">
            <v>70365.600000000006</v>
          </cell>
          <cell r="I77">
            <v>70365.600000000006</v>
          </cell>
          <cell r="J77">
            <v>70365.600000000006</v>
          </cell>
          <cell r="K77">
            <v>70365.600000000006</v>
          </cell>
          <cell r="L77">
            <v>324634.41000000003</v>
          </cell>
          <cell r="M77">
            <v>324634.41000000003</v>
          </cell>
        </row>
        <row r="78">
          <cell r="B78" t="str">
            <v>37101</v>
          </cell>
          <cell r="C78" t="str">
            <v>Pasajes Aereos</v>
          </cell>
          <cell r="D78">
            <v>3500000</v>
          </cell>
          <cell r="E78">
            <v>0</v>
          </cell>
          <cell r="F78">
            <v>0</v>
          </cell>
          <cell r="G78">
            <v>3500000</v>
          </cell>
          <cell r="H78">
            <v>2930557</v>
          </cell>
          <cell r="I78">
            <v>2930557</v>
          </cell>
          <cell r="J78">
            <v>2930557</v>
          </cell>
          <cell r="K78">
            <v>2930557</v>
          </cell>
          <cell r="L78">
            <v>569443</v>
          </cell>
          <cell r="M78">
            <v>569443</v>
          </cell>
        </row>
        <row r="79">
          <cell r="B79" t="str">
            <v>37201</v>
          </cell>
          <cell r="C79" t="str">
            <v>Pasajes Terrestres</v>
          </cell>
          <cell r="D79">
            <v>56428</v>
          </cell>
          <cell r="E79">
            <v>90000</v>
          </cell>
          <cell r="F79">
            <v>0</v>
          </cell>
          <cell r="G79">
            <v>146428</v>
          </cell>
          <cell r="H79">
            <v>35150.86</v>
          </cell>
          <cell r="I79">
            <v>35150.86</v>
          </cell>
          <cell r="J79">
            <v>35150.86</v>
          </cell>
          <cell r="K79">
            <v>35150.86</v>
          </cell>
          <cell r="L79">
            <v>111277.14</v>
          </cell>
          <cell r="M79">
            <v>111277.14</v>
          </cell>
        </row>
        <row r="80">
          <cell r="B80" t="str">
            <v>37501</v>
          </cell>
          <cell r="C80" t="str">
            <v>Viaticos en el Pais</v>
          </cell>
          <cell r="D80">
            <v>799999.99</v>
          </cell>
          <cell r="E80">
            <v>0</v>
          </cell>
          <cell r="F80">
            <v>0</v>
          </cell>
          <cell r="G80">
            <v>799999.99</v>
          </cell>
          <cell r="H80">
            <v>142556.41999999998</v>
          </cell>
          <cell r="I80">
            <v>142556.41999999998</v>
          </cell>
          <cell r="J80">
            <v>142556.41999999998</v>
          </cell>
          <cell r="K80">
            <v>142556.41999999998</v>
          </cell>
          <cell r="L80">
            <v>657443.57000000007</v>
          </cell>
          <cell r="M80">
            <v>657443.57000000007</v>
          </cell>
        </row>
        <row r="81">
          <cell r="B81" t="str">
            <v>37502</v>
          </cell>
          <cell r="C81" t="str">
            <v>Gastos de Camino</v>
          </cell>
          <cell r="D81">
            <v>5000</v>
          </cell>
          <cell r="E81">
            <v>5000</v>
          </cell>
          <cell r="F81">
            <v>0</v>
          </cell>
          <cell r="G81">
            <v>10000</v>
          </cell>
          <cell r="H81">
            <v>7498</v>
          </cell>
          <cell r="I81">
            <v>7498</v>
          </cell>
          <cell r="J81">
            <v>7498</v>
          </cell>
          <cell r="K81">
            <v>7498</v>
          </cell>
          <cell r="L81">
            <v>2502</v>
          </cell>
          <cell r="M81">
            <v>2502</v>
          </cell>
        </row>
        <row r="82">
          <cell r="B82" t="str">
            <v>37601</v>
          </cell>
          <cell r="C82" t="str">
            <v>Viaticos en el Extranjero</v>
          </cell>
          <cell r="D82">
            <v>2700000</v>
          </cell>
          <cell r="E82">
            <v>0</v>
          </cell>
          <cell r="F82">
            <v>45000</v>
          </cell>
          <cell r="G82">
            <v>2655000</v>
          </cell>
          <cell r="H82">
            <v>480268.83999999997</v>
          </cell>
          <cell r="I82">
            <v>480268.83999999997</v>
          </cell>
          <cell r="J82">
            <v>480268.83999999997</v>
          </cell>
          <cell r="K82">
            <v>480268.83999999997</v>
          </cell>
          <cell r="L82">
            <v>2174731.16</v>
          </cell>
          <cell r="M82">
            <v>2174731.16</v>
          </cell>
        </row>
        <row r="83">
          <cell r="B83" t="str">
            <v>37901</v>
          </cell>
          <cell r="C83" t="str">
            <v>Cuotas</v>
          </cell>
          <cell r="D83">
            <v>5000</v>
          </cell>
          <cell r="E83">
            <v>15000</v>
          </cell>
          <cell r="F83">
            <v>0</v>
          </cell>
          <cell r="G83">
            <v>20000</v>
          </cell>
          <cell r="H83">
            <v>9237</v>
          </cell>
          <cell r="I83">
            <v>9237</v>
          </cell>
          <cell r="J83">
            <v>9237</v>
          </cell>
          <cell r="K83">
            <v>9237</v>
          </cell>
          <cell r="L83">
            <v>10763</v>
          </cell>
          <cell r="M83">
            <v>10763</v>
          </cell>
        </row>
        <row r="84">
          <cell r="B84" t="str">
            <v>38101</v>
          </cell>
          <cell r="C84" t="str">
            <v>Gastos de ceremonial</v>
          </cell>
          <cell r="D84">
            <v>100000</v>
          </cell>
          <cell r="E84">
            <v>6193728.75</v>
          </cell>
          <cell r="F84">
            <v>17062.68</v>
          </cell>
          <cell r="G84">
            <v>6276666.0700000003</v>
          </cell>
          <cell r="H84">
            <v>1471670.7699999998</v>
          </cell>
          <cell r="I84">
            <v>1471670.7699999998</v>
          </cell>
          <cell r="J84">
            <v>1471670.7699999998</v>
          </cell>
          <cell r="K84">
            <v>1471670.7699999998</v>
          </cell>
          <cell r="L84">
            <v>4804995.3000000007</v>
          </cell>
          <cell r="M84">
            <v>4804995.3000000007</v>
          </cell>
        </row>
        <row r="85">
          <cell r="B85" t="str">
            <v>38201</v>
          </cell>
          <cell r="C85" t="str">
            <v>Gastos de Orden Social y cultural</v>
          </cell>
          <cell r="D85">
            <v>10000.01</v>
          </cell>
          <cell r="E85">
            <v>0</v>
          </cell>
          <cell r="F85">
            <v>0</v>
          </cell>
          <cell r="G85">
            <v>10000.01</v>
          </cell>
          <cell r="H85">
            <v>3000</v>
          </cell>
          <cell r="I85">
            <v>3000</v>
          </cell>
          <cell r="J85">
            <v>3000</v>
          </cell>
          <cell r="K85">
            <v>3000</v>
          </cell>
          <cell r="L85">
            <v>7000.01</v>
          </cell>
          <cell r="M85">
            <v>7000.01</v>
          </cell>
        </row>
        <row r="86">
          <cell r="B86" t="str">
            <v>38301</v>
          </cell>
          <cell r="C86" t="str">
            <v>Congresos y Convenciones</v>
          </cell>
          <cell r="D86">
            <v>3900000</v>
          </cell>
          <cell r="E86">
            <v>0</v>
          </cell>
          <cell r="F86">
            <v>280400</v>
          </cell>
          <cell r="G86">
            <v>3619600</v>
          </cell>
          <cell r="H86">
            <v>1898922.91</v>
          </cell>
          <cell r="I86">
            <v>1898922.91</v>
          </cell>
          <cell r="J86">
            <v>1898922.91</v>
          </cell>
          <cell r="K86">
            <v>1898922.91</v>
          </cell>
          <cell r="L86">
            <v>1720677.09</v>
          </cell>
          <cell r="M86">
            <v>1720677.09</v>
          </cell>
        </row>
        <row r="87">
          <cell r="B87" t="str">
            <v>38501</v>
          </cell>
          <cell r="C87" t="str">
            <v>Gastos de Atencion y Promocion</v>
          </cell>
          <cell r="D87">
            <v>600000</v>
          </cell>
          <cell r="E87">
            <v>0</v>
          </cell>
          <cell r="F87">
            <v>0</v>
          </cell>
          <cell r="G87">
            <v>600000</v>
          </cell>
          <cell r="H87">
            <v>522412.64999999997</v>
          </cell>
          <cell r="I87">
            <v>522412.64999999997</v>
          </cell>
          <cell r="J87">
            <v>522412.64999999997</v>
          </cell>
          <cell r="K87">
            <v>522412.64999999997</v>
          </cell>
          <cell r="L87">
            <v>77587.350000000035</v>
          </cell>
          <cell r="M87">
            <v>77587.350000000035</v>
          </cell>
        </row>
        <row r="88">
          <cell r="B88" t="str">
            <v>39201</v>
          </cell>
          <cell r="C88" t="str">
            <v>Impuestos y Derechos</v>
          </cell>
          <cell r="D88">
            <v>5000</v>
          </cell>
          <cell r="E88">
            <v>0</v>
          </cell>
          <cell r="F88">
            <v>0</v>
          </cell>
          <cell r="G88">
            <v>5000</v>
          </cell>
          <cell r="H88">
            <v>0</v>
          </cell>
          <cell r="I88">
            <v>0</v>
          </cell>
          <cell r="J88">
            <v>0</v>
          </cell>
          <cell r="K88">
            <v>0</v>
          </cell>
          <cell r="L88">
            <v>5000</v>
          </cell>
          <cell r="M88">
            <v>5000</v>
          </cell>
        </row>
        <row r="89">
          <cell r="B89">
            <v>39501</v>
          </cell>
          <cell r="C89" t="str">
            <v>PENAS, MULTAS, ACCESORIOS Y ACTUALIZACIONES</v>
          </cell>
          <cell r="D89">
            <v>20000</v>
          </cell>
          <cell r="E89">
            <v>10000</v>
          </cell>
          <cell r="F89">
            <v>0</v>
          </cell>
          <cell r="G89">
            <v>30000</v>
          </cell>
          <cell r="H89">
            <v>28571</v>
          </cell>
          <cell r="I89">
            <v>28571</v>
          </cell>
          <cell r="J89">
            <v>28571</v>
          </cell>
          <cell r="K89">
            <v>28571</v>
          </cell>
          <cell r="L89">
            <v>1429</v>
          </cell>
          <cell r="M89">
            <v>1429</v>
          </cell>
        </row>
        <row r="90">
          <cell r="B90">
            <v>4000</v>
          </cell>
          <cell r="C90" t="str">
            <v>TRANSFERENCIAS, ASIGNACIONES, SUBSIDIOS Y OTRAS AY</v>
          </cell>
          <cell r="D90">
            <v>33436316.73</v>
          </cell>
          <cell r="E90">
            <v>33025875</v>
          </cell>
          <cell r="F90">
            <v>0</v>
          </cell>
          <cell r="G90">
            <v>66462191.730000004</v>
          </cell>
          <cell r="H90">
            <v>47431015</v>
          </cell>
          <cell r="I90">
            <v>47431015</v>
          </cell>
          <cell r="J90">
            <v>47431015</v>
          </cell>
          <cell r="K90">
            <v>47431015</v>
          </cell>
          <cell r="L90">
            <v>19031176.730000004</v>
          </cell>
          <cell r="M90">
            <v>19031176.730000004</v>
          </cell>
        </row>
        <row r="91">
          <cell r="B91">
            <v>43101</v>
          </cell>
          <cell r="C91" t="str">
            <v>SUBSIDIOS A LA PRODUCCION</v>
          </cell>
          <cell r="D91">
            <v>32436316.73</v>
          </cell>
          <cell r="E91">
            <v>33025875</v>
          </cell>
          <cell r="F91">
            <v>0</v>
          </cell>
          <cell r="G91">
            <v>65462191.730000004</v>
          </cell>
          <cell r="H91">
            <v>47025875</v>
          </cell>
          <cell r="I91">
            <v>47025875</v>
          </cell>
          <cell r="J91">
            <v>47025875</v>
          </cell>
          <cell r="K91">
            <v>47025875</v>
          </cell>
          <cell r="L91">
            <v>18436316.730000004</v>
          </cell>
          <cell r="M91">
            <v>18436316.730000004</v>
          </cell>
        </row>
        <row r="92">
          <cell r="B92">
            <v>43301</v>
          </cell>
          <cell r="C92" t="str">
            <v>SUBSIDIOS A LA INVERSION</v>
          </cell>
          <cell r="D92">
            <v>1000000</v>
          </cell>
          <cell r="E92">
            <v>0</v>
          </cell>
          <cell r="F92">
            <v>0</v>
          </cell>
          <cell r="G92">
            <v>1000000</v>
          </cell>
          <cell r="H92">
            <v>405140</v>
          </cell>
          <cell r="I92">
            <v>405140</v>
          </cell>
          <cell r="J92">
            <v>405140</v>
          </cell>
          <cell r="K92">
            <v>405140</v>
          </cell>
          <cell r="L92">
            <v>594860</v>
          </cell>
          <cell r="M92">
            <v>594860</v>
          </cell>
        </row>
        <row r="93">
          <cell r="B93">
            <v>5000</v>
          </cell>
          <cell r="C93" t="str">
            <v>BIENES MUEBLES, INMUEBLES E INTANGIBLES</v>
          </cell>
          <cell r="D93">
            <v>0</v>
          </cell>
          <cell r="E93">
            <v>17062.68</v>
          </cell>
          <cell r="F93">
            <v>0</v>
          </cell>
          <cell r="G93">
            <v>17062.68</v>
          </cell>
          <cell r="H93">
            <v>17062.68</v>
          </cell>
          <cell r="I93">
            <v>17062.68</v>
          </cell>
          <cell r="J93">
            <v>17062.68</v>
          </cell>
          <cell r="K93">
            <v>17062.68</v>
          </cell>
          <cell r="L93">
            <v>0</v>
          </cell>
          <cell r="M93">
            <v>0</v>
          </cell>
        </row>
        <row r="94">
          <cell r="B94" t="str">
            <v>51101</v>
          </cell>
          <cell r="C94" t="str">
            <v>Muebles de Oficina y Estanteria</v>
          </cell>
          <cell r="D94">
            <v>0</v>
          </cell>
          <cell r="E94">
            <v>0</v>
          </cell>
          <cell r="F94">
            <v>0</v>
          </cell>
          <cell r="G94">
            <v>0</v>
          </cell>
          <cell r="H94">
            <v>0</v>
          </cell>
          <cell r="I94">
            <v>0</v>
          </cell>
          <cell r="J94">
            <v>0</v>
          </cell>
          <cell r="K94">
            <v>0</v>
          </cell>
          <cell r="L94">
            <v>0</v>
          </cell>
          <cell r="M94">
            <v>0</v>
          </cell>
        </row>
        <row r="95">
          <cell r="B95" t="str">
            <v>51501</v>
          </cell>
          <cell r="C95" t="str">
            <v>Eqpo de Computo y de Tecnologias de la informacion</v>
          </cell>
          <cell r="D95">
            <v>0</v>
          </cell>
          <cell r="E95">
            <v>17062.68</v>
          </cell>
          <cell r="F95">
            <v>0</v>
          </cell>
          <cell r="G95">
            <v>17062.68</v>
          </cell>
          <cell r="H95">
            <v>17062.68</v>
          </cell>
          <cell r="I95">
            <v>17062.68</v>
          </cell>
          <cell r="J95">
            <v>17062.68</v>
          </cell>
          <cell r="K95">
            <v>17062.68</v>
          </cell>
          <cell r="L95">
            <v>0</v>
          </cell>
          <cell r="M95">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FORMATOS  "/>
      <sheetName val="ETCA-I-01"/>
      <sheetName val="ETCA-I-02"/>
      <sheetName val="ETCA-I-03"/>
      <sheetName val="ETCA-I-04"/>
      <sheetName val="ETCA-I-05"/>
      <sheetName val="ETCA-I-06"/>
      <sheetName val="ETCA-I-07"/>
      <sheetName val="ETCA-I-08"/>
      <sheetName val="ETCA-I-09"/>
      <sheetName val="ETCA-I-10"/>
      <sheetName val="ETCA-I-11"/>
      <sheetName val="ETCA-I-12 (NOTAS)"/>
      <sheetName val="ETCA-II-01"/>
      <sheetName val="ETCA-II-02"/>
      <sheetName val="ETCA-II-03"/>
      <sheetName val="ETCA II-04"/>
      <sheetName val="ETCA-II-05"/>
      <sheetName val="ETCA-II-06"/>
      <sheetName val="ETCA-II-07"/>
      <sheetName val="ETCA-II-08"/>
      <sheetName val="ETCA-II-09"/>
      <sheetName val="ETCA-II-10"/>
      <sheetName val="ETCA-II-11"/>
      <sheetName val="ETCA-II-12"/>
      <sheetName val="ETCA-II-13"/>
      <sheetName val="ETCA-II-14"/>
      <sheetName val="ETCA-II-15"/>
      <sheetName val="ETCA-II-16"/>
      <sheetName val="ETCA-II-17"/>
      <sheetName val="ETCA-III-01"/>
      <sheetName val="ETCA-III-03"/>
      <sheetName val="ETCA-III-04"/>
      <sheetName val="ETCA-III-05"/>
      <sheetName val="ETCA-IV-01"/>
      <sheetName val="ETCA-IV-02"/>
      <sheetName val="ETCA-IV-03"/>
      <sheetName val="ETCA-IV-04"/>
      <sheetName val="ETCA-IV-06"/>
      <sheetName val="ANEXO A"/>
      <sheetName val="ANEXO B"/>
      <sheetName val="ANEXO C"/>
    </sheetNames>
    <sheetDataSet>
      <sheetData sheetId="0"/>
      <sheetData sheetId="1">
        <row r="1">
          <cell r="A1" t="str">
            <v xml:space="preserve">Nombre de la Entidad </v>
          </cell>
          <cell r="B1">
            <v>0</v>
          </cell>
          <cell r="C1">
            <v>0</v>
          </cell>
          <cell r="D1">
            <v>0</v>
          </cell>
          <cell r="E1">
            <v>0</v>
          </cell>
          <cell r="F1">
            <v>0</v>
          </cell>
          <cell r="G1">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6.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view="pageBreakPreview" topLeftCell="A46" zoomScale="112" zoomScaleNormal="100" zoomScaleSheetLayoutView="112" workbookViewId="0">
      <selection activeCell="C54" sqref="C54"/>
    </sheetView>
  </sheetViews>
  <sheetFormatPr baseColWidth="10" defaultColWidth="11.42578125" defaultRowHeight="15" x14ac:dyDescent="0.25"/>
  <cols>
    <col min="1" max="2" width="11.42578125" style="1039"/>
    <col min="3" max="3" width="68.42578125" style="1039" customWidth="1"/>
    <col min="4" max="16384" width="11.42578125" style="1039"/>
  </cols>
  <sheetData>
    <row r="1" spans="1:3" s="3" customFormat="1" ht="27.75" customHeight="1" x14ac:dyDescent="0.4">
      <c r="A1" s="776"/>
      <c r="B1" s="28" t="s">
        <v>0</v>
      </c>
      <c r="C1" s="776"/>
    </row>
    <row r="2" spans="1:3" s="3" customFormat="1" ht="4.5" customHeight="1" x14ac:dyDescent="0.3">
      <c r="A2" s="776"/>
      <c r="B2" s="776"/>
      <c r="C2" s="776"/>
    </row>
    <row r="3" spans="1:3" s="3" customFormat="1" ht="19.5" customHeight="1" thickBot="1" x14ac:dyDescent="0.35">
      <c r="A3" s="30" t="s">
        <v>1315</v>
      </c>
      <c r="B3" s="29"/>
      <c r="C3" s="29"/>
    </row>
    <row r="4" spans="1:3" ht="17.25" customHeight="1" thickBot="1" x14ac:dyDescent="0.3">
      <c r="A4" s="1200" t="s">
        <v>871</v>
      </c>
      <c r="B4" s="1201"/>
      <c r="C4" s="1202"/>
    </row>
    <row r="5" spans="1:3" ht="17.25" customHeight="1" thickBot="1" x14ac:dyDescent="0.3">
      <c r="A5" s="1038">
        <v>1</v>
      </c>
      <c r="B5" s="777" t="s">
        <v>1316</v>
      </c>
      <c r="C5" s="777" t="s">
        <v>22</v>
      </c>
    </row>
    <row r="6" spans="1:3" ht="17.25" customHeight="1" thickBot="1" x14ac:dyDescent="0.3">
      <c r="A6" s="1037">
        <v>2</v>
      </c>
      <c r="B6" s="778" t="s">
        <v>1317</v>
      </c>
      <c r="C6" s="778" t="s">
        <v>872</v>
      </c>
    </row>
    <row r="7" spans="1:3" ht="17.25" customHeight="1" thickBot="1" x14ac:dyDescent="0.3">
      <c r="A7" s="1038">
        <v>3</v>
      </c>
      <c r="B7" s="777" t="s">
        <v>1318</v>
      </c>
      <c r="C7" s="777" t="s">
        <v>1</v>
      </c>
    </row>
    <row r="8" spans="1:3" ht="17.25" customHeight="1" thickBot="1" x14ac:dyDescent="0.3">
      <c r="A8" s="1038">
        <v>4</v>
      </c>
      <c r="B8" s="777" t="s">
        <v>1319</v>
      </c>
      <c r="C8" s="777" t="s">
        <v>2</v>
      </c>
    </row>
    <row r="9" spans="1:3" ht="17.25" customHeight="1" thickBot="1" x14ac:dyDescent="0.3">
      <c r="A9" s="1038">
        <v>5</v>
      </c>
      <c r="B9" s="777" t="s">
        <v>1320</v>
      </c>
      <c r="C9" s="777" t="s">
        <v>3</v>
      </c>
    </row>
    <row r="10" spans="1:3" ht="17.25" customHeight="1" thickBot="1" x14ac:dyDescent="0.3">
      <c r="A10" s="1038">
        <v>6</v>
      </c>
      <c r="B10" s="777" t="s">
        <v>1321</v>
      </c>
      <c r="C10" s="777" t="s">
        <v>4</v>
      </c>
    </row>
    <row r="11" spans="1:3" ht="17.25" customHeight="1" thickBot="1" x14ac:dyDescent="0.3">
      <c r="A11" s="1038">
        <v>7</v>
      </c>
      <c r="B11" s="777" t="s">
        <v>1322</v>
      </c>
      <c r="C11" s="777" t="s">
        <v>5</v>
      </c>
    </row>
    <row r="12" spans="1:3" ht="17.25" customHeight="1" thickBot="1" x14ac:dyDescent="0.3">
      <c r="A12" s="1038">
        <v>8</v>
      </c>
      <c r="B12" s="777" t="s">
        <v>1323</v>
      </c>
      <c r="C12" s="777" t="s">
        <v>6</v>
      </c>
    </row>
    <row r="13" spans="1:3" ht="17.25" customHeight="1" thickBot="1" x14ac:dyDescent="0.3">
      <c r="A13" s="1037">
        <v>9</v>
      </c>
      <c r="B13" s="778" t="s">
        <v>1324</v>
      </c>
      <c r="C13" s="778" t="s">
        <v>7</v>
      </c>
    </row>
    <row r="14" spans="1:3" ht="17.25" customHeight="1" thickBot="1" x14ac:dyDescent="0.3">
      <c r="A14" s="1037">
        <v>10</v>
      </c>
      <c r="B14" s="778" t="s">
        <v>1325</v>
      </c>
      <c r="C14" s="778" t="s">
        <v>873</v>
      </c>
    </row>
    <row r="15" spans="1:3" ht="17.25" customHeight="1" thickBot="1" x14ac:dyDescent="0.3">
      <c r="A15" s="1038">
        <v>11</v>
      </c>
      <c r="B15" s="777" t="s">
        <v>1326</v>
      </c>
      <c r="C15" s="777" t="s">
        <v>8</v>
      </c>
    </row>
    <row r="16" spans="1:3" ht="17.25" customHeight="1" thickBot="1" x14ac:dyDescent="0.3">
      <c r="A16" s="1038">
        <v>12</v>
      </c>
      <c r="B16" s="777" t="s">
        <v>1327</v>
      </c>
      <c r="C16" s="777" t="s">
        <v>9</v>
      </c>
    </row>
    <row r="17" spans="1:3" ht="17.25" customHeight="1" thickBot="1" x14ac:dyDescent="0.3">
      <c r="A17" s="1200" t="s">
        <v>10</v>
      </c>
      <c r="B17" s="1201"/>
      <c r="C17" s="1202"/>
    </row>
    <row r="18" spans="1:3" ht="17.25" customHeight="1" thickBot="1" x14ac:dyDescent="0.3">
      <c r="A18" s="1038">
        <v>13</v>
      </c>
      <c r="B18" s="777" t="s">
        <v>1328</v>
      </c>
      <c r="C18" s="777" t="s">
        <v>11</v>
      </c>
    </row>
    <row r="19" spans="1:3" ht="17.25" customHeight="1" thickBot="1" x14ac:dyDescent="0.3">
      <c r="A19" s="1037">
        <v>14</v>
      </c>
      <c r="B19" s="778" t="s">
        <v>1329</v>
      </c>
      <c r="C19" s="778" t="s">
        <v>874</v>
      </c>
    </row>
    <row r="20" spans="1:3" ht="17.25" customHeight="1" thickBot="1" x14ac:dyDescent="0.3">
      <c r="A20" s="1038">
        <v>15</v>
      </c>
      <c r="B20" s="777" t="s">
        <v>1330</v>
      </c>
      <c r="C20" s="777" t="s">
        <v>875</v>
      </c>
    </row>
    <row r="21" spans="1:3" ht="17.25" customHeight="1" thickBot="1" x14ac:dyDescent="0.3">
      <c r="A21" s="1038">
        <v>16</v>
      </c>
      <c r="B21" s="777" t="s">
        <v>1331</v>
      </c>
      <c r="C21" s="777" t="s">
        <v>465</v>
      </c>
    </row>
    <row r="22" spans="1:3" ht="17.25" customHeight="1" x14ac:dyDescent="0.25">
      <c r="A22" s="1203">
        <v>17</v>
      </c>
      <c r="B22" s="1203" t="s">
        <v>1332</v>
      </c>
      <c r="C22" s="779" t="s">
        <v>876</v>
      </c>
    </row>
    <row r="23" spans="1:3" ht="17.25" customHeight="1" thickBot="1" x14ac:dyDescent="0.3">
      <c r="A23" s="1204"/>
      <c r="B23" s="1204"/>
      <c r="C23" s="778" t="s">
        <v>877</v>
      </c>
    </row>
    <row r="24" spans="1:3" ht="17.25" customHeight="1" x14ac:dyDescent="0.25">
      <c r="A24" s="1205">
        <v>18</v>
      </c>
      <c r="B24" s="1205" t="s">
        <v>1333</v>
      </c>
      <c r="C24" s="780" t="s">
        <v>465</v>
      </c>
    </row>
    <row r="25" spans="1:3" ht="17.25" customHeight="1" thickBot="1" x14ac:dyDescent="0.3">
      <c r="A25" s="1206"/>
      <c r="B25" s="1206"/>
      <c r="C25" s="777" t="s">
        <v>878</v>
      </c>
    </row>
    <row r="26" spans="1:3" ht="17.25" customHeight="1" x14ac:dyDescent="0.25">
      <c r="A26" s="1205">
        <v>19</v>
      </c>
      <c r="B26" s="1205" t="s">
        <v>1334</v>
      </c>
      <c r="C26" s="780" t="s">
        <v>465</v>
      </c>
    </row>
    <row r="27" spans="1:3" ht="17.25" customHeight="1" thickBot="1" x14ac:dyDescent="0.3">
      <c r="A27" s="1206"/>
      <c r="B27" s="1206"/>
      <c r="C27" s="777" t="s">
        <v>879</v>
      </c>
    </row>
    <row r="28" spans="1:3" ht="17.25" customHeight="1" thickBot="1" x14ac:dyDescent="0.3">
      <c r="A28" s="1037">
        <v>20</v>
      </c>
      <c r="B28" s="778" t="s">
        <v>1335</v>
      </c>
      <c r="C28" s="778" t="s">
        <v>12</v>
      </c>
    </row>
    <row r="29" spans="1:3" ht="17.25" customHeight="1" x14ac:dyDescent="0.25">
      <c r="A29" s="1205">
        <v>21</v>
      </c>
      <c r="B29" s="1205" t="s">
        <v>1336</v>
      </c>
      <c r="C29" s="780" t="s">
        <v>465</v>
      </c>
    </row>
    <row r="30" spans="1:3" ht="17.25" customHeight="1" thickBot="1" x14ac:dyDescent="0.3">
      <c r="A30" s="1206"/>
      <c r="B30" s="1206"/>
      <c r="C30" s="777" t="s">
        <v>880</v>
      </c>
    </row>
    <row r="31" spans="1:3" ht="17.25" customHeight="1" x14ac:dyDescent="0.25">
      <c r="A31" s="1205">
        <v>22</v>
      </c>
      <c r="B31" s="1205" t="s">
        <v>1337</v>
      </c>
      <c r="C31" s="780" t="s">
        <v>465</v>
      </c>
    </row>
    <row r="32" spans="1:3" ht="17.25" customHeight="1" thickBot="1" x14ac:dyDescent="0.3">
      <c r="A32" s="1206"/>
      <c r="B32" s="1206"/>
      <c r="C32" s="777" t="s">
        <v>881</v>
      </c>
    </row>
    <row r="33" spans="1:3" ht="17.25" customHeight="1" x14ac:dyDescent="0.25">
      <c r="A33" s="1205">
        <v>23</v>
      </c>
      <c r="B33" s="1205" t="s">
        <v>1338</v>
      </c>
      <c r="C33" s="780" t="s">
        <v>465</v>
      </c>
    </row>
    <row r="34" spans="1:3" ht="17.25" customHeight="1" thickBot="1" x14ac:dyDescent="0.3">
      <c r="A34" s="1206"/>
      <c r="B34" s="1206"/>
      <c r="C34" s="777" t="s">
        <v>658</v>
      </c>
    </row>
    <row r="35" spans="1:3" ht="17.25" customHeight="1" x14ac:dyDescent="0.25">
      <c r="A35" s="1203">
        <v>24</v>
      </c>
      <c r="B35" s="1203" t="s">
        <v>1339</v>
      </c>
      <c r="C35" s="779" t="s">
        <v>882</v>
      </c>
    </row>
    <row r="36" spans="1:3" ht="17.25" customHeight="1" thickBot="1" x14ac:dyDescent="0.3">
      <c r="A36" s="1204"/>
      <c r="B36" s="1204"/>
      <c r="C36" s="778" t="s">
        <v>658</v>
      </c>
    </row>
    <row r="37" spans="1:3" ht="17.25" customHeight="1" x14ac:dyDescent="0.25">
      <c r="A37" s="1205">
        <v>25</v>
      </c>
      <c r="B37" s="1205" t="s">
        <v>1340</v>
      </c>
      <c r="C37" s="780" t="s">
        <v>465</v>
      </c>
    </row>
    <row r="38" spans="1:3" ht="17.25" customHeight="1" thickBot="1" x14ac:dyDescent="0.3">
      <c r="A38" s="1206"/>
      <c r="B38" s="1206"/>
      <c r="C38" s="777" t="s">
        <v>724</v>
      </c>
    </row>
    <row r="39" spans="1:3" ht="17.25" customHeight="1" x14ac:dyDescent="0.25">
      <c r="A39" s="1203">
        <v>26</v>
      </c>
      <c r="B39" s="1203" t="s">
        <v>1341</v>
      </c>
      <c r="C39" s="779" t="s">
        <v>883</v>
      </c>
    </row>
    <row r="40" spans="1:3" ht="17.25" customHeight="1" thickBot="1" x14ac:dyDescent="0.3">
      <c r="A40" s="1204"/>
      <c r="B40" s="1204"/>
      <c r="C40" s="778" t="s">
        <v>730</v>
      </c>
    </row>
    <row r="41" spans="1:3" ht="17.25" customHeight="1" thickBot="1" x14ac:dyDescent="0.3">
      <c r="A41" s="1038">
        <v>27</v>
      </c>
      <c r="B41" s="777" t="s">
        <v>1342</v>
      </c>
      <c r="C41" s="777" t="s">
        <v>884</v>
      </c>
    </row>
    <row r="42" spans="1:3" ht="17.25" customHeight="1" thickBot="1" x14ac:dyDescent="0.3">
      <c r="A42" s="1038">
        <v>28</v>
      </c>
      <c r="B42" s="777" t="s">
        <v>1343</v>
      </c>
      <c r="C42" s="777" t="s">
        <v>14</v>
      </c>
    </row>
    <row r="43" spans="1:3" ht="17.25" customHeight="1" thickBot="1" x14ac:dyDescent="0.3">
      <c r="A43" s="1038">
        <v>29</v>
      </c>
      <c r="B43" s="777" t="s">
        <v>1344</v>
      </c>
      <c r="C43" s="777" t="s">
        <v>885</v>
      </c>
    </row>
    <row r="44" spans="1:3" ht="17.25" customHeight="1" thickBot="1" x14ac:dyDescent="0.3">
      <c r="A44" s="1200" t="s">
        <v>15</v>
      </c>
      <c r="B44" s="1201"/>
      <c r="C44" s="1202"/>
    </row>
    <row r="45" spans="1:3" ht="17.25" customHeight="1" thickBot="1" x14ac:dyDescent="0.3">
      <c r="A45" s="1038">
        <v>30</v>
      </c>
      <c r="B45" s="777" t="s">
        <v>1345</v>
      </c>
      <c r="C45" s="777" t="s">
        <v>16</v>
      </c>
    </row>
    <row r="46" spans="1:3" ht="17.25" customHeight="1" thickBot="1" x14ac:dyDescent="0.3">
      <c r="A46" s="1038">
        <v>31</v>
      </c>
      <c r="B46" s="777" t="s">
        <v>1346</v>
      </c>
      <c r="C46" s="777" t="s">
        <v>939</v>
      </c>
    </row>
    <row r="47" spans="1:3" ht="17.25" customHeight="1" thickBot="1" x14ac:dyDescent="0.3">
      <c r="A47" s="1038">
        <v>32</v>
      </c>
      <c r="B47" s="777" t="s">
        <v>1347</v>
      </c>
      <c r="C47" s="777" t="s">
        <v>17</v>
      </c>
    </row>
    <row r="48" spans="1:3" ht="17.25" customHeight="1" thickBot="1" x14ac:dyDescent="0.3">
      <c r="A48" s="1038">
        <v>33</v>
      </c>
      <c r="B48" s="777" t="s">
        <v>1348</v>
      </c>
      <c r="C48" s="777" t="s">
        <v>886</v>
      </c>
    </row>
    <row r="49" spans="1:3" ht="17.25" customHeight="1" thickBot="1" x14ac:dyDescent="0.3">
      <c r="A49" s="1037">
        <v>34</v>
      </c>
      <c r="B49" s="778" t="s">
        <v>1349</v>
      </c>
      <c r="C49" s="778" t="s">
        <v>870</v>
      </c>
    </row>
    <row r="50" spans="1:3" ht="17.25" customHeight="1" thickBot="1" x14ac:dyDescent="0.3">
      <c r="A50" s="1200" t="s">
        <v>887</v>
      </c>
      <c r="B50" s="1201"/>
      <c r="C50" s="1202"/>
    </row>
    <row r="51" spans="1:3" ht="17.25" customHeight="1" thickBot="1" x14ac:dyDescent="0.3">
      <c r="A51" s="1038">
        <v>35</v>
      </c>
      <c r="B51" s="777" t="s">
        <v>1350</v>
      </c>
      <c r="C51" s="777" t="s">
        <v>18</v>
      </c>
    </row>
    <row r="52" spans="1:3" ht="17.25" customHeight="1" thickBot="1" x14ac:dyDescent="0.3">
      <c r="A52" s="1037">
        <v>36</v>
      </c>
      <c r="B52" s="778" t="s">
        <v>1351</v>
      </c>
      <c r="C52" s="778" t="s">
        <v>19</v>
      </c>
    </row>
    <row r="53" spans="1:3" ht="17.25" customHeight="1" thickBot="1" x14ac:dyDescent="0.3">
      <c r="A53" s="1038">
        <v>37</v>
      </c>
      <c r="B53" s="777" t="s">
        <v>1352</v>
      </c>
      <c r="C53" s="777" t="s">
        <v>20</v>
      </c>
    </row>
    <row r="54" spans="1:3" ht="17.25" customHeight="1" thickBot="1" x14ac:dyDescent="0.3">
      <c r="A54" s="1038">
        <v>38</v>
      </c>
      <c r="B54" s="777" t="s">
        <v>1353</v>
      </c>
      <c r="C54" s="777" t="s">
        <v>941</v>
      </c>
    </row>
    <row r="55" spans="1:3" ht="17.25" customHeight="1" thickBot="1" x14ac:dyDescent="0.3">
      <c r="A55" s="1038">
        <v>39</v>
      </c>
      <c r="B55" s="777" t="s">
        <v>1354</v>
      </c>
      <c r="C55" s="777" t="s">
        <v>940</v>
      </c>
    </row>
    <row r="56" spans="1:3" ht="17.25" customHeight="1" thickBot="1" x14ac:dyDescent="0.3">
      <c r="A56" s="1038">
        <v>40</v>
      </c>
      <c r="B56" s="777" t="s">
        <v>1024</v>
      </c>
      <c r="C56" s="777" t="s">
        <v>21</v>
      </c>
    </row>
    <row r="57" spans="1:3" ht="15.75" thickBot="1" x14ac:dyDescent="0.3">
      <c r="A57" s="1038">
        <v>41</v>
      </c>
      <c r="B57" s="777" t="s">
        <v>1025</v>
      </c>
      <c r="C57" s="777" t="s">
        <v>1355</v>
      </c>
    </row>
    <row r="58" spans="1:3" ht="15.75" thickBot="1" x14ac:dyDescent="0.3">
      <c r="A58" s="1038">
        <v>42</v>
      </c>
      <c r="B58" s="777" t="s">
        <v>1026</v>
      </c>
      <c r="C58" s="777" t="s">
        <v>1027</v>
      </c>
    </row>
  </sheetData>
  <mergeCells count="22">
    <mergeCell ref="A39:A40"/>
    <mergeCell ref="B39:B40"/>
    <mergeCell ref="A44:C44"/>
    <mergeCell ref="A50:C50"/>
    <mergeCell ref="A33:A34"/>
    <mergeCell ref="B33:B34"/>
    <mergeCell ref="A35:A36"/>
    <mergeCell ref="B35:B36"/>
    <mergeCell ref="A37:A38"/>
    <mergeCell ref="B37:B38"/>
    <mergeCell ref="A26:A27"/>
    <mergeCell ref="B26:B27"/>
    <mergeCell ref="A29:A30"/>
    <mergeCell ref="B29:B30"/>
    <mergeCell ref="A31:A32"/>
    <mergeCell ref="B31:B32"/>
    <mergeCell ref="A4:C4"/>
    <mergeCell ref="A17:C17"/>
    <mergeCell ref="A22:A23"/>
    <mergeCell ref="B22:B23"/>
    <mergeCell ref="A24:A25"/>
    <mergeCell ref="B24:B25"/>
  </mergeCells>
  <pageMargins left="0.70866141732283472" right="0.70866141732283472" top="0.74803149606299213" bottom="0.74803149606299213" header="0.31496062992125984" footer="0.31496062992125984"/>
  <pageSetup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view="pageBreakPreview" zoomScale="110" zoomScaleNormal="100" zoomScaleSheetLayoutView="110" workbookViewId="0">
      <selection activeCell="E6" sqref="E6:E7"/>
    </sheetView>
  </sheetViews>
  <sheetFormatPr baseColWidth="10" defaultColWidth="11.42578125" defaultRowHeight="15" x14ac:dyDescent="0.25"/>
  <cols>
    <col min="1" max="1" width="4.7109375" customWidth="1"/>
    <col min="2" max="2" width="30.28515625" customWidth="1"/>
    <col min="3" max="5" width="12.42578125" customWidth="1"/>
    <col min="6" max="6" width="13.42578125" customWidth="1"/>
    <col min="7" max="9" width="12.42578125" customWidth="1"/>
  </cols>
  <sheetData>
    <row r="1" spans="1:10" ht="15.75" x14ac:dyDescent="0.25">
      <c r="A1" s="1208" t="str">
        <f>'CPCA-I-01'!A1:G1</f>
        <v>RADIO SONORA</v>
      </c>
      <c r="B1" s="1208"/>
      <c r="C1" s="1208"/>
      <c r="D1" s="1208"/>
      <c r="E1" s="1208"/>
      <c r="F1" s="1208"/>
      <c r="G1" s="1208"/>
      <c r="H1" s="1208"/>
      <c r="I1" s="1208"/>
    </row>
    <row r="2" spans="1:10" ht="15.75" customHeight="1" x14ac:dyDescent="0.25">
      <c r="A2" s="1208" t="s">
        <v>306</v>
      </c>
      <c r="B2" s="1208"/>
      <c r="C2" s="1208"/>
      <c r="D2" s="1208"/>
      <c r="E2" s="1208"/>
      <c r="F2" s="1208"/>
      <c r="G2" s="1208"/>
      <c r="H2" s="1208"/>
      <c r="I2" s="1208"/>
    </row>
    <row r="3" spans="1:10" s="37" customFormat="1" ht="16.5" x14ac:dyDescent="0.3">
      <c r="A3" s="1208"/>
      <c r="B3" s="1208"/>
      <c r="C3" s="1208"/>
      <c r="D3" s="1208"/>
      <c r="E3" s="1208"/>
      <c r="F3" s="1208"/>
      <c r="G3" s="1208"/>
      <c r="H3" s="1208"/>
      <c r="I3" s="1208"/>
    </row>
    <row r="4" spans="1:10" ht="15" customHeight="1" x14ac:dyDescent="0.25">
      <c r="A4" s="1254" t="str">
        <f>'CPCA-I-03'!A4:D4</f>
        <v>Del 01 de ENERO al 31 de DICIEMBRE de 2024</v>
      </c>
      <c r="B4" s="1254"/>
      <c r="C4" s="1254"/>
      <c r="D4" s="1254"/>
      <c r="E4" s="1254"/>
      <c r="F4" s="1254"/>
      <c r="G4" s="1254"/>
      <c r="H4" s="1254"/>
      <c r="I4" s="1254"/>
    </row>
    <row r="5" spans="1:10" ht="15.75" customHeight="1" thickBot="1" x14ac:dyDescent="0.3">
      <c r="A5" s="1255" t="s">
        <v>84</v>
      </c>
      <c r="B5" s="1255"/>
      <c r="C5" s="1255"/>
      <c r="D5" s="1255"/>
      <c r="E5" s="1255"/>
      <c r="F5" s="1255"/>
      <c r="G5" s="1255"/>
      <c r="H5" s="1255"/>
      <c r="I5" s="1255"/>
    </row>
    <row r="6" spans="1:10" ht="24" customHeight="1" x14ac:dyDescent="0.25">
      <c r="A6" s="1256" t="s">
        <v>307</v>
      </c>
      <c r="B6" s="1257"/>
      <c r="C6" s="578" t="s">
        <v>308</v>
      </c>
      <c r="D6" s="1260" t="s">
        <v>309</v>
      </c>
      <c r="E6" s="1260" t="s">
        <v>310</v>
      </c>
      <c r="F6" s="1260" t="s">
        <v>311</v>
      </c>
      <c r="G6" s="578" t="s">
        <v>312</v>
      </c>
      <c r="H6" s="1260" t="s">
        <v>313</v>
      </c>
      <c r="I6" s="1260" t="s">
        <v>314</v>
      </c>
    </row>
    <row r="7" spans="1:10" ht="34.5" customHeight="1" thickBot="1" x14ac:dyDescent="0.3">
      <c r="A7" s="1258"/>
      <c r="B7" s="1259"/>
      <c r="C7" s="742" t="s">
        <v>2245</v>
      </c>
      <c r="D7" s="1261"/>
      <c r="E7" s="1261"/>
      <c r="F7" s="1261"/>
      <c r="G7" s="742" t="s">
        <v>315</v>
      </c>
      <c r="H7" s="1261"/>
      <c r="I7" s="1261"/>
    </row>
    <row r="8" spans="1:10" ht="5.25" customHeight="1" x14ac:dyDescent="0.25">
      <c r="A8" s="1262"/>
      <c r="B8" s="1263"/>
      <c r="C8" s="741"/>
      <c r="D8" s="741"/>
      <c r="E8" s="741"/>
      <c r="F8" s="741"/>
      <c r="G8" s="741"/>
      <c r="H8" s="741"/>
      <c r="I8" s="741"/>
    </row>
    <row r="9" spans="1:10" x14ac:dyDescent="0.25">
      <c r="A9" s="1252" t="s">
        <v>316</v>
      </c>
      <c r="B9" s="1253"/>
      <c r="C9" s="624">
        <f>C10+C14</f>
        <v>0</v>
      </c>
      <c r="D9" s="624">
        <f t="shared" ref="D9:I9" si="0">D10+D14</f>
        <v>0</v>
      </c>
      <c r="E9" s="624">
        <f t="shared" si="0"/>
        <v>0</v>
      </c>
      <c r="F9" s="624">
        <f t="shared" si="0"/>
        <v>0</v>
      </c>
      <c r="G9" s="624">
        <f>+C9+D9-E9+F9</f>
        <v>0</v>
      </c>
      <c r="H9" s="624">
        <f t="shared" si="0"/>
        <v>0</v>
      </c>
      <c r="I9" s="624">
        <f t="shared" si="0"/>
        <v>0</v>
      </c>
    </row>
    <row r="10" spans="1:10" ht="16.5" x14ac:dyDescent="0.25">
      <c r="A10" s="1252" t="s">
        <v>317</v>
      </c>
      <c r="B10" s="1253"/>
      <c r="C10" s="624">
        <f>SUM(C11:C13)</f>
        <v>0</v>
      </c>
      <c r="D10" s="624">
        <f t="shared" ref="D10:I10" si="1">SUM(D11:D13)</f>
        <v>0</v>
      </c>
      <c r="E10" s="624">
        <f t="shared" si="1"/>
        <v>0</v>
      </c>
      <c r="F10" s="624">
        <f t="shared" si="1"/>
        <v>0</v>
      </c>
      <c r="G10" s="624">
        <f t="shared" si="1"/>
        <v>0</v>
      </c>
      <c r="H10" s="624">
        <f t="shared" si="1"/>
        <v>0</v>
      </c>
      <c r="I10" s="624">
        <f t="shared" si="1"/>
        <v>0</v>
      </c>
      <c r="J10" s="397" t="str">
        <f>IF(C10&lt;&gt;'CPCA-I-08'!E21,"ERROR!!!!! NO CONCUERDA CON LO REPORTADO EN EL ESTADO ANALITICO  DE LA DEUDA Y OTROS PASIVOS","")</f>
        <v/>
      </c>
    </row>
    <row r="11" spans="1:10" ht="16.5" x14ac:dyDescent="0.25">
      <c r="A11" s="740"/>
      <c r="B11" s="744" t="s">
        <v>318</v>
      </c>
      <c r="C11" s="648">
        <v>0</v>
      </c>
      <c r="D11" s="648">
        <v>0</v>
      </c>
      <c r="E11" s="648">
        <v>0</v>
      </c>
      <c r="F11" s="648">
        <v>0</v>
      </c>
      <c r="G11" s="624">
        <f>+C11+D11-E11+F11</f>
        <v>0</v>
      </c>
      <c r="H11" s="648">
        <v>0</v>
      </c>
      <c r="I11" s="648">
        <v>0</v>
      </c>
      <c r="J11" s="397" t="str">
        <f>IF(G10&lt;&gt;'CPCA-I-08'!F21,"ERROR!!!!! NO CONCUERDA CON LO REPORTADO EN EL ESTADO ANALITICO  DE LA DEUDA Y OTROS PASIVOS","")</f>
        <v/>
      </c>
    </row>
    <row r="12" spans="1:10" x14ac:dyDescent="0.25">
      <c r="A12" s="743"/>
      <c r="B12" s="744" t="s">
        <v>319</v>
      </c>
      <c r="C12" s="648">
        <v>0</v>
      </c>
      <c r="D12" s="648">
        <v>0</v>
      </c>
      <c r="E12" s="648">
        <v>0</v>
      </c>
      <c r="F12" s="648">
        <v>0</v>
      </c>
      <c r="G12" s="624">
        <f>+C12+D12-E12+F12</f>
        <v>0</v>
      </c>
      <c r="H12" s="648">
        <v>0</v>
      </c>
      <c r="I12" s="648">
        <v>0</v>
      </c>
    </row>
    <row r="13" spans="1:10" x14ac:dyDescent="0.25">
      <c r="A13" s="743"/>
      <c r="B13" s="744" t="s">
        <v>320</v>
      </c>
      <c r="C13" s="648">
        <v>0</v>
      </c>
      <c r="D13" s="648">
        <v>0</v>
      </c>
      <c r="E13" s="648">
        <v>0</v>
      </c>
      <c r="F13" s="648">
        <v>0</v>
      </c>
      <c r="G13" s="624">
        <f>+C13+D13-E13+F13</f>
        <v>0</v>
      </c>
      <c r="H13" s="648">
        <v>0</v>
      </c>
      <c r="I13" s="648">
        <v>0</v>
      </c>
    </row>
    <row r="14" spans="1:10" ht="16.5" x14ac:dyDescent="0.25">
      <c r="A14" s="1252" t="s">
        <v>321</v>
      </c>
      <c r="B14" s="1253"/>
      <c r="C14" s="624">
        <f t="shared" ref="C14:I14" si="2">SUM(C15:C17)</f>
        <v>0</v>
      </c>
      <c r="D14" s="624">
        <f t="shared" si="2"/>
        <v>0</v>
      </c>
      <c r="E14" s="624">
        <f t="shared" si="2"/>
        <v>0</v>
      </c>
      <c r="F14" s="624">
        <f t="shared" si="2"/>
        <v>0</v>
      </c>
      <c r="G14" s="624">
        <f t="shared" si="2"/>
        <v>0</v>
      </c>
      <c r="H14" s="624">
        <f t="shared" si="2"/>
        <v>0</v>
      </c>
      <c r="I14" s="624">
        <f t="shared" si="2"/>
        <v>0</v>
      </c>
      <c r="J14" s="397" t="str">
        <f>IF(C14&lt;&gt;'CPCA-I-08'!E35,"ERROR!!!!! NO CONCUERDA CON LO REPORTADO EN EL ESTADO ANALITICO DE LA DEUDA Y OTROS PASIVOS","")</f>
        <v/>
      </c>
    </row>
    <row r="15" spans="1:10" ht="16.5" x14ac:dyDescent="0.25">
      <c r="A15" s="740"/>
      <c r="B15" s="744" t="s">
        <v>322</v>
      </c>
      <c r="C15" s="648">
        <v>0</v>
      </c>
      <c r="D15" s="648">
        <v>0</v>
      </c>
      <c r="E15" s="648">
        <v>0</v>
      </c>
      <c r="F15" s="648">
        <v>0</v>
      </c>
      <c r="G15" s="624">
        <f>+C15+D15-E15+F15</f>
        <v>0</v>
      </c>
      <c r="H15" s="648">
        <v>0</v>
      </c>
      <c r="I15" s="648">
        <v>0</v>
      </c>
      <c r="J15" s="397" t="str">
        <f>IF(G14&lt;&gt;'CPCA-I-08'!F35,"ERROR!!!!! NO CONCUERDA CON LO REPORTADO EN EL ESTADO ANALITICO DE LA DEUDA Y OTROS PASIVOS","")</f>
        <v/>
      </c>
    </row>
    <row r="16" spans="1:10" x14ac:dyDescent="0.25">
      <c r="A16" s="743"/>
      <c r="B16" s="744" t="s">
        <v>323</v>
      </c>
      <c r="C16" s="648">
        <v>0</v>
      </c>
      <c r="D16" s="648">
        <v>0</v>
      </c>
      <c r="E16" s="648">
        <v>0</v>
      </c>
      <c r="F16" s="648">
        <v>0</v>
      </c>
      <c r="G16" s="624">
        <f>+C16+D16-E16+F16</f>
        <v>0</v>
      </c>
      <c r="H16" s="648">
        <v>0</v>
      </c>
      <c r="I16" s="648">
        <v>0</v>
      </c>
    </row>
    <row r="17" spans="1:10" x14ac:dyDescent="0.25">
      <c r="A17" s="743"/>
      <c r="B17" s="744" t="s">
        <v>324</v>
      </c>
      <c r="C17" s="648">
        <v>0</v>
      </c>
      <c r="D17" s="648">
        <v>0</v>
      </c>
      <c r="E17" s="648">
        <v>0</v>
      </c>
      <c r="F17" s="648">
        <v>0</v>
      </c>
      <c r="G17" s="624">
        <f>+C17+D17-E17+F17</f>
        <v>0</v>
      </c>
      <c r="H17" s="648">
        <v>0</v>
      </c>
      <c r="I17" s="648">
        <v>0</v>
      </c>
    </row>
    <row r="18" spans="1:10" s="620" customFormat="1" ht="16.5" x14ac:dyDescent="0.25">
      <c r="A18" s="1252" t="s">
        <v>325</v>
      </c>
      <c r="B18" s="1253"/>
      <c r="C18" s="725">
        <f>'CPCA-I-08'!E37</f>
        <v>13453808.76</v>
      </c>
      <c r="D18" s="667"/>
      <c r="E18" s="667"/>
      <c r="F18" s="667"/>
      <c r="G18" s="725">
        <f>'CPCA-I-08'!F37</f>
        <v>20461436.009999998</v>
      </c>
      <c r="H18" s="667"/>
      <c r="I18" s="667"/>
      <c r="J18" s="397" t="str">
        <f>IF(C18&lt;&gt;'CPCA-I-08'!E37,"ERROR!!! NO CONCUERDA CON LO REPORTADO EN EL ESTADO ANALITICO DE LA DEUDA Y OTROS PASIVOS","")</f>
        <v/>
      </c>
    </row>
    <row r="19" spans="1:10" ht="16.5" customHeight="1" x14ac:dyDescent="0.25">
      <c r="A19" s="1252" t="s">
        <v>326</v>
      </c>
      <c r="B19" s="1253"/>
      <c r="C19" s="624">
        <f t="shared" ref="C19:I19" si="3">C9+C18</f>
        <v>13453808.76</v>
      </c>
      <c r="D19" s="624">
        <f t="shared" si="3"/>
        <v>0</v>
      </c>
      <c r="E19" s="624">
        <f t="shared" si="3"/>
        <v>0</v>
      </c>
      <c r="F19" s="624">
        <f t="shared" si="3"/>
        <v>0</v>
      </c>
      <c r="G19" s="624">
        <f t="shared" si="3"/>
        <v>20461436.009999998</v>
      </c>
      <c r="H19" s="624">
        <f t="shared" si="3"/>
        <v>0</v>
      </c>
      <c r="I19" s="624">
        <f t="shared" si="3"/>
        <v>0</v>
      </c>
      <c r="J19" s="397" t="str">
        <f>IF(G18&lt;&gt;'CPCA-I-08'!F37,"ERROR!!! NO CONCUERDA CON LO REPORTADO EN EL ESTADO ANALITICO DE LA DEUDA Y OTROS PASIVOS","")</f>
        <v/>
      </c>
    </row>
    <row r="20" spans="1:10" ht="16.5" customHeight="1" x14ac:dyDescent="0.25">
      <c r="A20" s="1252" t="s">
        <v>327</v>
      </c>
      <c r="B20" s="1253"/>
      <c r="C20" s="710">
        <f>SUM(C21:C23)</f>
        <v>0</v>
      </c>
      <c r="D20" s="624">
        <f t="shared" ref="D20:I20" si="4">SUM(D21:D23)</f>
        <v>0</v>
      </c>
      <c r="E20" s="624">
        <f t="shared" si="4"/>
        <v>0</v>
      </c>
      <c r="F20" s="624">
        <f t="shared" si="4"/>
        <v>0</v>
      </c>
      <c r="G20" s="624">
        <f>+C20+D20-E20+F20</f>
        <v>0</v>
      </c>
      <c r="H20" s="624">
        <f t="shared" si="4"/>
        <v>0</v>
      </c>
      <c r="I20" s="624">
        <f t="shared" si="4"/>
        <v>0</v>
      </c>
      <c r="J20" s="397" t="str">
        <f>IF(G19&lt;&gt;'CPCA-I-08'!F39,"ERROR!!!! NO CONCUERDA CON LO REPORTADO EN EL ESTADO ANALITICO DE LA DEUDA Y OTROS PASIVOS","")</f>
        <v/>
      </c>
    </row>
    <row r="21" spans="1:10" x14ac:dyDescent="0.25">
      <c r="A21" s="1271" t="s">
        <v>328</v>
      </c>
      <c r="B21" s="1272"/>
      <c r="C21" s="648">
        <v>0</v>
      </c>
      <c r="D21" s="648">
        <v>0</v>
      </c>
      <c r="E21" s="648">
        <v>0</v>
      </c>
      <c r="F21" s="648">
        <v>0</v>
      </c>
      <c r="G21" s="624">
        <f>+C21+D21-E21+F21</f>
        <v>0</v>
      </c>
      <c r="H21" s="648">
        <v>0</v>
      </c>
      <c r="I21" s="648">
        <v>0</v>
      </c>
      <c r="J21" t="str">
        <f>IF(C19&lt;&gt;'CPCA-I-08'!E39,"ERROR!!!!! , NO CONCUERDA CON LO REPORTADO EN EL ESTADO ANALITICO DE LA DEUDA Y OTROS PASIVOS","")</f>
        <v/>
      </c>
    </row>
    <row r="22" spans="1:10" x14ac:dyDescent="0.25">
      <c r="A22" s="1271" t="s">
        <v>329</v>
      </c>
      <c r="B22" s="1272"/>
      <c r="C22" s="648">
        <v>0</v>
      </c>
      <c r="D22" s="648">
        <v>0</v>
      </c>
      <c r="E22" s="648">
        <v>0</v>
      </c>
      <c r="F22" s="648">
        <v>0</v>
      </c>
      <c r="G22" s="624">
        <f>+C22+D22-E22+F22</f>
        <v>0</v>
      </c>
      <c r="H22" s="648">
        <v>0</v>
      </c>
      <c r="I22" s="648">
        <v>0</v>
      </c>
    </row>
    <row r="23" spans="1:10" x14ac:dyDescent="0.25">
      <c r="A23" s="1271" t="s">
        <v>330</v>
      </c>
      <c r="B23" s="1272"/>
      <c r="C23" s="648"/>
      <c r="D23" s="648"/>
      <c r="E23" s="648"/>
      <c r="F23" s="648"/>
      <c r="G23" s="624">
        <f>+C23+D23-E23+F23</f>
        <v>0</v>
      </c>
      <c r="H23" s="648"/>
      <c r="I23" s="648"/>
    </row>
    <row r="24" spans="1:10" ht="16.5" customHeight="1" x14ac:dyDescent="0.25">
      <c r="A24" s="1252" t="s">
        <v>331</v>
      </c>
      <c r="B24" s="1253"/>
      <c r="C24" s="624">
        <f>SUM(C25:C27)</f>
        <v>0</v>
      </c>
      <c r="D24" s="624">
        <f t="shared" ref="D24:I24" si="5">SUM(D25:D27)</f>
        <v>0</v>
      </c>
      <c r="E24" s="624">
        <f t="shared" si="5"/>
        <v>0</v>
      </c>
      <c r="F24" s="624">
        <f t="shared" si="5"/>
        <v>0</v>
      </c>
      <c r="G24" s="624">
        <f t="shared" si="5"/>
        <v>0</v>
      </c>
      <c r="H24" s="624">
        <f t="shared" si="5"/>
        <v>0</v>
      </c>
      <c r="I24" s="624">
        <f t="shared" si="5"/>
        <v>0</v>
      </c>
    </row>
    <row r="25" spans="1:10" x14ac:dyDescent="0.25">
      <c r="A25" s="1271" t="s">
        <v>332</v>
      </c>
      <c r="B25" s="1272"/>
      <c r="C25" s="648">
        <v>0</v>
      </c>
      <c r="D25" s="648">
        <v>0</v>
      </c>
      <c r="E25" s="648">
        <v>0</v>
      </c>
      <c r="F25" s="648">
        <v>0</v>
      </c>
      <c r="G25" s="624">
        <f>+C25+D25-E25+F25</f>
        <v>0</v>
      </c>
      <c r="H25" s="648">
        <v>0</v>
      </c>
      <c r="I25" s="648">
        <v>0</v>
      </c>
    </row>
    <row r="26" spans="1:10" x14ac:dyDescent="0.25">
      <c r="A26" s="1271" t="s">
        <v>333</v>
      </c>
      <c r="B26" s="1272"/>
      <c r="C26" s="648">
        <v>0</v>
      </c>
      <c r="D26" s="648">
        <v>0</v>
      </c>
      <c r="E26" s="648">
        <v>0</v>
      </c>
      <c r="F26" s="648">
        <v>0</v>
      </c>
      <c r="G26" s="624">
        <f>+C26+D26-E26+F26</f>
        <v>0</v>
      </c>
      <c r="H26" s="648">
        <v>0</v>
      </c>
      <c r="I26" s="648">
        <v>0</v>
      </c>
    </row>
    <row r="27" spans="1:10" x14ac:dyDescent="0.25">
      <c r="A27" s="1271" t="s">
        <v>334</v>
      </c>
      <c r="B27" s="1272"/>
      <c r="C27" s="648">
        <v>0</v>
      </c>
      <c r="D27" s="648">
        <v>0</v>
      </c>
      <c r="E27" s="648">
        <v>0</v>
      </c>
      <c r="F27" s="648">
        <v>0</v>
      </c>
      <c r="G27" s="624">
        <f>+C27+D27-E27+F27</f>
        <v>0</v>
      </c>
      <c r="H27" s="648">
        <v>0</v>
      </c>
      <c r="I27" s="648">
        <v>0</v>
      </c>
    </row>
    <row r="28" spans="1:10" ht="7.5" customHeight="1" thickBot="1" x14ac:dyDescent="0.3">
      <c r="A28" s="1273"/>
      <c r="B28" s="1274"/>
      <c r="C28" s="627"/>
      <c r="D28" s="627"/>
      <c r="E28" s="627"/>
      <c r="F28" s="627"/>
      <c r="G28" s="627"/>
      <c r="H28" s="627"/>
      <c r="I28" s="627"/>
    </row>
    <row r="29" spans="1:10" ht="3.75" customHeight="1" x14ac:dyDescent="0.25"/>
    <row r="30" spans="1:10" ht="33" customHeight="1" x14ac:dyDescent="0.25">
      <c r="B30" s="590">
        <v>1</v>
      </c>
      <c r="C30" s="1264" t="s">
        <v>335</v>
      </c>
      <c r="D30" s="1264"/>
      <c r="E30" s="1264"/>
      <c r="F30" s="1264"/>
      <c r="G30" s="1264"/>
      <c r="H30" s="1264"/>
      <c r="I30" s="1264"/>
    </row>
    <row r="31" spans="1:10" ht="18.75" customHeight="1" x14ac:dyDescent="0.25">
      <c r="B31" s="590">
        <v>2</v>
      </c>
      <c r="C31" s="1264" t="s">
        <v>336</v>
      </c>
      <c r="D31" s="1264"/>
      <c r="E31" s="1264"/>
      <c r="F31" s="1264"/>
      <c r="G31" s="1264"/>
      <c r="H31" s="1264"/>
      <c r="I31" s="1264"/>
    </row>
    <row r="32" spans="1:10" ht="3.75" customHeight="1" thickBot="1" x14ac:dyDescent="0.3"/>
    <row r="33" spans="2:7" ht="19.5" x14ac:dyDescent="0.25">
      <c r="B33" s="1265" t="s">
        <v>337</v>
      </c>
      <c r="C33" s="585" t="s">
        <v>338</v>
      </c>
      <c r="D33" s="585" t="s">
        <v>339</v>
      </c>
      <c r="E33" s="585" t="s">
        <v>340</v>
      </c>
      <c r="F33" s="1268" t="s">
        <v>341</v>
      </c>
      <c r="G33" s="585" t="s">
        <v>342</v>
      </c>
    </row>
    <row r="34" spans="2:7" x14ac:dyDescent="0.25">
      <c r="B34" s="1266"/>
      <c r="C34" s="575" t="s">
        <v>343</v>
      </c>
      <c r="D34" s="575" t="s">
        <v>344</v>
      </c>
      <c r="E34" s="575" t="s">
        <v>345</v>
      </c>
      <c r="F34" s="1269"/>
      <c r="G34" s="575" t="s">
        <v>346</v>
      </c>
    </row>
    <row r="35" spans="2:7" ht="15.75" thickBot="1" x14ac:dyDescent="0.3">
      <c r="B35" s="1267"/>
      <c r="C35" s="586"/>
      <c r="D35" s="576" t="s">
        <v>347</v>
      </c>
      <c r="E35" s="586"/>
      <c r="F35" s="1270"/>
      <c r="G35" s="586"/>
    </row>
    <row r="36" spans="2:7" ht="19.5" x14ac:dyDescent="0.25">
      <c r="B36" s="587" t="s">
        <v>348</v>
      </c>
      <c r="C36" s="577"/>
      <c r="D36" s="577"/>
      <c r="E36" s="577"/>
      <c r="F36" s="577"/>
      <c r="G36" s="577"/>
    </row>
    <row r="37" spans="2:7" x14ac:dyDescent="0.25">
      <c r="B37" s="588" t="s">
        <v>349</v>
      </c>
      <c r="C37" s="625"/>
      <c r="D37" s="625"/>
      <c r="E37" s="625"/>
      <c r="F37" s="625"/>
      <c r="G37" s="625"/>
    </row>
    <row r="38" spans="2:7" x14ac:dyDescent="0.25">
      <c r="B38" s="588" t="s">
        <v>350</v>
      </c>
      <c r="C38" s="625"/>
      <c r="D38" s="625"/>
      <c r="E38" s="625"/>
      <c r="F38" s="625"/>
      <c r="G38" s="625"/>
    </row>
    <row r="39" spans="2:7" ht="15.75" thickBot="1" x14ac:dyDescent="0.3">
      <c r="B39" s="589" t="s">
        <v>351</v>
      </c>
      <c r="C39" s="626"/>
      <c r="D39" s="626"/>
      <c r="E39" s="626"/>
      <c r="F39" s="626"/>
      <c r="G39" s="626"/>
    </row>
  </sheetData>
  <sheetProtection formatColumns="0" formatRows="0" insertHyperlinks="0"/>
  <mergeCells count="30">
    <mergeCell ref="A20:B20"/>
    <mergeCell ref="A21:B21"/>
    <mergeCell ref="A22:B22"/>
    <mergeCell ref="A23:B23"/>
    <mergeCell ref="A19:B19"/>
    <mergeCell ref="C31:I31"/>
    <mergeCell ref="C30:I30"/>
    <mergeCell ref="B33:B35"/>
    <mergeCell ref="F33:F35"/>
    <mergeCell ref="A24:B24"/>
    <mergeCell ref="A25:B25"/>
    <mergeCell ref="A26:B26"/>
    <mergeCell ref="A27:B27"/>
    <mergeCell ref="A28:B28"/>
    <mergeCell ref="A9:B9"/>
    <mergeCell ref="A10:B10"/>
    <mergeCell ref="A14:B14"/>
    <mergeCell ref="A18:B18"/>
    <mergeCell ref="A1:I1"/>
    <mergeCell ref="A2:I2"/>
    <mergeCell ref="A4:I4"/>
    <mergeCell ref="A5:I5"/>
    <mergeCell ref="A6:B7"/>
    <mergeCell ref="D6:D7"/>
    <mergeCell ref="E6:E7"/>
    <mergeCell ref="F6:F7"/>
    <mergeCell ref="H6:H7"/>
    <mergeCell ref="I6:I7"/>
    <mergeCell ref="A3:I3"/>
    <mergeCell ref="A8:B8"/>
  </mergeCells>
  <printOptions horizontalCentered="1"/>
  <pageMargins left="0.23622047244094491" right="0.23622047244094491" top="0.35433070866141736" bottom="0.35433070866141736" header="0.31496062992125984" footer="0.31496062992125984"/>
  <pageSetup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view="pageBreakPreview" zoomScaleNormal="100" zoomScaleSheetLayoutView="100" workbookViewId="0">
      <selection activeCell="K7" sqref="K7"/>
    </sheetView>
  </sheetViews>
  <sheetFormatPr baseColWidth="10" defaultColWidth="11.42578125" defaultRowHeight="15" x14ac:dyDescent="0.25"/>
  <cols>
    <col min="1" max="1" width="23.5703125" customWidth="1"/>
  </cols>
  <sheetData>
    <row r="1" spans="1:11" ht="15.75" x14ac:dyDescent="0.25">
      <c r="A1" s="1208" t="str">
        <f>'CPCA-I-01'!A1:G1</f>
        <v>RADIO SONORA</v>
      </c>
      <c r="B1" s="1208"/>
      <c r="C1" s="1208"/>
      <c r="D1" s="1208"/>
      <c r="E1" s="1208"/>
      <c r="F1" s="1208"/>
      <c r="G1" s="1208"/>
      <c r="H1" s="1208"/>
      <c r="I1" s="1208"/>
      <c r="J1" s="1208"/>
      <c r="K1" s="1208"/>
    </row>
    <row r="2" spans="1:11" ht="15.75" customHeight="1" x14ac:dyDescent="0.25">
      <c r="A2" s="1208" t="s">
        <v>352</v>
      </c>
      <c r="B2" s="1208"/>
      <c r="C2" s="1208"/>
      <c r="D2" s="1208"/>
      <c r="E2" s="1208"/>
      <c r="F2" s="1208"/>
      <c r="G2" s="1208"/>
      <c r="H2" s="1208"/>
      <c r="I2" s="1208"/>
      <c r="J2" s="1208"/>
      <c r="K2" s="1208"/>
    </row>
    <row r="3" spans="1:11" ht="16.5" customHeight="1" x14ac:dyDescent="0.25">
      <c r="A3" s="1208"/>
      <c r="B3" s="1208"/>
      <c r="C3" s="1208"/>
      <c r="D3" s="1208"/>
      <c r="E3" s="1208"/>
      <c r="F3" s="1208"/>
      <c r="G3" s="1208"/>
      <c r="H3" s="1208"/>
      <c r="I3" s="1208"/>
      <c r="J3" s="1208"/>
      <c r="K3" s="1208"/>
    </row>
    <row r="4" spans="1:11" ht="15.75" customHeight="1" x14ac:dyDescent="0.25">
      <c r="A4" s="1254" t="str">
        <f>'CPCA-I-09'!A4:I4</f>
        <v>Del 01 de ENERO al 31 de DICIEMBRE de 2024</v>
      </c>
      <c r="B4" s="1254"/>
      <c r="C4" s="1254"/>
      <c r="D4" s="1254"/>
      <c r="E4" s="1254"/>
      <c r="F4" s="1254"/>
      <c r="G4" s="1254"/>
      <c r="H4" s="1254"/>
      <c r="I4" s="1254"/>
      <c r="J4" s="1254"/>
      <c r="K4" s="1254"/>
    </row>
    <row r="5" spans="1:11" ht="15.75" thickBot="1" x14ac:dyDescent="0.3">
      <c r="A5" s="1255" t="s">
        <v>84</v>
      </c>
      <c r="B5" s="1255"/>
      <c r="C5" s="1255"/>
      <c r="D5" s="1255"/>
      <c r="E5" s="1255"/>
      <c r="F5" s="1255"/>
      <c r="G5" s="1255"/>
      <c r="H5" s="1255"/>
      <c r="I5" s="1255"/>
      <c r="J5" s="1255"/>
      <c r="K5" s="1255"/>
    </row>
    <row r="6" spans="1:11" ht="115.5" thickBot="1" x14ac:dyDescent="0.3">
      <c r="A6" s="579" t="s">
        <v>353</v>
      </c>
      <c r="B6" s="580" t="s">
        <v>354</v>
      </c>
      <c r="C6" s="580" t="s">
        <v>355</v>
      </c>
      <c r="D6" s="580" t="s">
        <v>356</v>
      </c>
      <c r="E6" s="580" t="s">
        <v>357</v>
      </c>
      <c r="F6" s="580" t="s">
        <v>358</v>
      </c>
      <c r="G6" s="580" t="s">
        <v>359</v>
      </c>
      <c r="H6" s="580" t="s">
        <v>360</v>
      </c>
      <c r="I6" s="798" t="s">
        <v>2275</v>
      </c>
      <c r="J6" s="798" t="s">
        <v>2276</v>
      </c>
      <c r="K6" s="798" t="s">
        <v>2277</v>
      </c>
    </row>
    <row r="7" spans="1:11" x14ac:dyDescent="0.25">
      <c r="A7" s="572"/>
      <c r="B7" s="574"/>
      <c r="C7" s="574"/>
      <c r="D7" s="574"/>
      <c r="E7" s="574"/>
      <c r="F7" s="574"/>
      <c r="G7" s="574"/>
      <c r="H7" s="574"/>
      <c r="I7" s="574"/>
      <c r="J7" s="574"/>
      <c r="K7" s="574"/>
    </row>
    <row r="8" spans="1:11" ht="25.5" x14ac:dyDescent="0.25">
      <c r="A8" s="581" t="s">
        <v>361</v>
      </c>
      <c r="B8" s="628">
        <f t="shared" ref="B8:J8" si="0">B9+B10+B11+B12</f>
        <v>0</v>
      </c>
      <c r="C8" s="628">
        <f t="shared" si="0"/>
        <v>0</v>
      </c>
      <c r="D8" s="628">
        <f t="shared" si="0"/>
        <v>0</v>
      </c>
      <c r="E8" s="628">
        <f t="shared" si="0"/>
        <v>0</v>
      </c>
      <c r="F8" s="628">
        <f t="shared" si="0"/>
        <v>0</v>
      </c>
      <c r="G8" s="628">
        <f t="shared" si="0"/>
        <v>0</v>
      </c>
      <c r="H8" s="628">
        <f t="shared" si="0"/>
        <v>0</v>
      </c>
      <c r="I8" s="628">
        <f t="shared" si="0"/>
        <v>0</v>
      </c>
      <c r="J8" s="628">
        <f t="shared" si="0"/>
        <v>0</v>
      </c>
      <c r="K8" s="628">
        <f>E8-J8</f>
        <v>0</v>
      </c>
    </row>
    <row r="9" spans="1:11" x14ac:dyDescent="0.25">
      <c r="A9" s="582" t="s">
        <v>362</v>
      </c>
      <c r="B9" s="639">
        <v>0</v>
      </c>
      <c r="C9" s="639">
        <v>0</v>
      </c>
      <c r="D9" s="639">
        <v>0</v>
      </c>
      <c r="E9" s="639">
        <v>0</v>
      </c>
      <c r="F9" s="639">
        <v>0</v>
      </c>
      <c r="G9" s="639">
        <v>0</v>
      </c>
      <c r="H9" s="639">
        <v>0</v>
      </c>
      <c r="I9" s="639">
        <v>0</v>
      </c>
      <c r="J9" s="639">
        <v>0</v>
      </c>
      <c r="K9" s="628">
        <f>E9-J9</f>
        <v>0</v>
      </c>
    </row>
    <row r="10" spans="1:11" x14ac:dyDescent="0.25">
      <c r="A10" s="582" t="s">
        <v>363</v>
      </c>
      <c r="B10" s="639">
        <v>0</v>
      </c>
      <c r="C10" s="639"/>
      <c r="D10" s="639"/>
      <c r="E10" s="639">
        <v>0</v>
      </c>
      <c r="F10" s="639"/>
      <c r="G10" s="639"/>
      <c r="H10" s="639"/>
      <c r="I10" s="639"/>
      <c r="J10" s="639">
        <v>0</v>
      </c>
      <c r="K10" s="628">
        <f>E10-J10</f>
        <v>0</v>
      </c>
    </row>
    <row r="11" spans="1:11" x14ac:dyDescent="0.25">
      <c r="A11" s="582" t="s">
        <v>364</v>
      </c>
      <c r="B11" s="639">
        <v>0</v>
      </c>
      <c r="C11" s="639">
        <v>0</v>
      </c>
      <c r="D11" s="639">
        <v>0</v>
      </c>
      <c r="E11" s="639">
        <v>0</v>
      </c>
      <c r="F11" s="639">
        <v>0</v>
      </c>
      <c r="G11" s="639">
        <v>0</v>
      </c>
      <c r="H11" s="639">
        <v>0</v>
      </c>
      <c r="I11" s="639">
        <v>0</v>
      </c>
      <c r="J11" s="639">
        <v>0</v>
      </c>
      <c r="K11" s="628">
        <f>E11-J11</f>
        <v>0</v>
      </c>
    </row>
    <row r="12" spans="1:11" ht="15.75" thickBot="1" x14ac:dyDescent="0.3">
      <c r="A12" s="582" t="s">
        <v>365</v>
      </c>
      <c r="B12" s="639">
        <v>0</v>
      </c>
      <c r="C12" s="639"/>
      <c r="D12" s="639"/>
      <c r="E12" s="639">
        <v>0</v>
      </c>
      <c r="F12" s="639"/>
      <c r="G12" s="639"/>
      <c r="H12" s="639"/>
      <c r="I12" s="639"/>
      <c r="J12" s="639">
        <v>0</v>
      </c>
      <c r="K12" s="628">
        <f>E12-J12</f>
        <v>0</v>
      </c>
    </row>
    <row r="13" spans="1:11" ht="30" customHeight="1" thickBot="1" x14ac:dyDescent="0.3">
      <c r="A13" s="573"/>
      <c r="B13" s="628"/>
      <c r="C13" s="628"/>
      <c r="D13" s="1275" t="s">
        <v>1032</v>
      </c>
      <c r="E13" s="1276"/>
      <c r="F13" s="1276"/>
      <c r="G13" s="1277"/>
      <c r="H13" s="628"/>
      <c r="I13" s="628"/>
      <c r="J13" s="628"/>
      <c r="K13" s="628"/>
    </row>
    <row r="14" spans="1:11" ht="25.5" x14ac:dyDescent="0.25">
      <c r="A14" s="581" t="s">
        <v>366</v>
      </c>
      <c r="B14" s="628">
        <f t="shared" ref="B14:J14" si="1">B15+B16+B17+B18</f>
        <v>0</v>
      </c>
      <c r="C14" s="628">
        <f t="shared" si="1"/>
        <v>0</v>
      </c>
      <c r="D14" s="628">
        <f t="shared" si="1"/>
        <v>0</v>
      </c>
      <c r="E14" s="628">
        <f t="shared" si="1"/>
        <v>0</v>
      </c>
      <c r="F14" s="628">
        <f t="shared" si="1"/>
        <v>0</v>
      </c>
      <c r="G14" s="628">
        <f t="shared" si="1"/>
        <v>0</v>
      </c>
      <c r="H14" s="628">
        <f t="shared" si="1"/>
        <v>0</v>
      </c>
      <c r="I14" s="628">
        <f t="shared" si="1"/>
        <v>0</v>
      </c>
      <c r="J14" s="628">
        <f t="shared" si="1"/>
        <v>0</v>
      </c>
      <c r="K14" s="628">
        <f>E14-J14</f>
        <v>0</v>
      </c>
    </row>
    <row r="15" spans="1:11" x14ac:dyDescent="0.25">
      <c r="A15" s="582" t="s">
        <v>1031</v>
      </c>
      <c r="B15" s="639">
        <v>0</v>
      </c>
      <c r="C15" s="639"/>
      <c r="D15" s="639"/>
      <c r="E15" s="639">
        <v>0</v>
      </c>
      <c r="F15" s="639"/>
      <c r="G15" s="639"/>
      <c r="H15" s="639"/>
      <c r="I15" s="639">
        <v>0</v>
      </c>
      <c r="J15" s="639">
        <f>I15</f>
        <v>0</v>
      </c>
      <c r="K15" s="628">
        <f>E15-J15</f>
        <v>0</v>
      </c>
    </row>
    <row r="16" spans="1:11" x14ac:dyDescent="0.25">
      <c r="A16" s="582" t="s">
        <v>367</v>
      </c>
      <c r="B16" s="639">
        <v>0</v>
      </c>
      <c r="C16" s="639"/>
      <c r="D16" s="639">
        <v>0</v>
      </c>
      <c r="E16" s="639">
        <v>0</v>
      </c>
      <c r="F16" s="639">
        <v>0</v>
      </c>
      <c r="G16" s="639">
        <v>0</v>
      </c>
      <c r="H16" s="639">
        <v>0</v>
      </c>
      <c r="I16" s="639">
        <v>0</v>
      </c>
      <c r="J16" s="639">
        <v>0</v>
      </c>
      <c r="K16" s="628">
        <f>E16-J16</f>
        <v>0</v>
      </c>
    </row>
    <row r="17" spans="1:11" x14ac:dyDescent="0.25">
      <c r="A17" s="582" t="s">
        <v>368</v>
      </c>
      <c r="B17" s="639">
        <v>0</v>
      </c>
      <c r="C17" s="639">
        <v>0</v>
      </c>
      <c r="D17" s="639"/>
      <c r="E17" s="639">
        <v>0</v>
      </c>
      <c r="F17" s="639"/>
      <c r="G17" s="639"/>
      <c r="H17" s="639"/>
      <c r="I17" s="639"/>
      <c r="J17" s="639"/>
      <c r="K17" s="628">
        <f>E17-J17</f>
        <v>0</v>
      </c>
    </row>
    <row r="18" spans="1:11" x14ac:dyDescent="0.25">
      <c r="A18" s="582" t="s">
        <v>369</v>
      </c>
      <c r="B18" s="639">
        <v>0</v>
      </c>
      <c r="C18" s="639"/>
      <c r="D18" s="639"/>
      <c r="E18" s="639">
        <v>0</v>
      </c>
      <c r="F18" s="639"/>
      <c r="G18" s="639"/>
      <c r="H18" s="639"/>
      <c r="I18" s="639"/>
      <c r="J18" s="639"/>
      <c r="K18" s="628">
        <f>E18-J18</f>
        <v>0</v>
      </c>
    </row>
    <row r="19" spans="1:11" x14ac:dyDescent="0.25">
      <c r="A19" s="573"/>
      <c r="B19" s="628">
        <v>0</v>
      </c>
      <c r="C19" s="628"/>
      <c r="D19" s="628"/>
      <c r="E19" s="628"/>
      <c r="F19" s="628"/>
      <c r="G19" s="628"/>
      <c r="H19" s="628"/>
      <c r="I19" s="628"/>
      <c r="J19" s="628"/>
      <c r="K19" s="640"/>
    </row>
    <row r="20" spans="1:11" ht="38.25" x14ac:dyDescent="0.25">
      <c r="A20" s="581" t="s">
        <v>370</v>
      </c>
      <c r="B20" s="628">
        <f>B8+B14</f>
        <v>0</v>
      </c>
      <c r="C20" s="628">
        <f t="shared" ref="C20:J20" si="2">C8+C14</f>
        <v>0</v>
      </c>
      <c r="D20" s="628">
        <f t="shared" si="2"/>
        <v>0</v>
      </c>
      <c r="E20" s="628">
        <f t="shared" si="2"/>
        <v>0</v>
      </c>
      <c r="F20" s="628">
        <f t="shared" si="2"/>
        <v>0</v>
      </c>
      <c r="G20" s="628">
        <f t="shared" si="2"/>
        <v>0</v>
      </c>
      <c r="H20" s="628">
        <f t="shared" si="2"/>
        <v>0</v>
      </c>
      <c r="I20" s="628">
        <f t="shared" si="2"/>
        <v>0</v>
      </c>
      <c r="J20" s="628">
        <f t="shared" si="2"/>
        <v>0</v>
      </c>
      <c r="K20" s="628">
        <f>E20-J20</f>
        <v>0</v>
      </c>
    </row>
    <row r="21" spans="1:11" ht="15.75" thickBot="1" x14ac:dyDescent="0.3">
      <c r="A21" s="583"/>
      <c r="B21" s="584"/>
      <c r="C21" s="584"/>
      <c r="D21" s="584"/>
      <c r="E21" s="584"/>
      <c r="F21" s="584"/>
      <c r="G21" s="584"/>
      <c r="H21" s="584"/>
      <c r="I21" s="584"/>
      <c r="J21" s="584"/>
      <c r="K21" s="584"/>
    </row>
  </sheetData>
  <mergeCells count="6">
    <mergeCell ref="D13:G13"/>
    <mergeCell ref="A3:K3"/>
    <mergeCell ref="A1:K1"/>
    <mergeCell ref="A2:K2"/>
    <mergeCell ref="A4:K4"/>
    <mergeCell ref="A5:K5"/>
  </mergeCells>
  <printOptions horizontalCentered="1"/>
  <pageMargins left="0.23622047244094491" right="0.23622047244094491" top="0.74803149606299213" bottom="0.74803149606299213" header="0.31496062992125984" footer="0.31496062992125984"/>
  <pageSetup scale="8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50"/>
  <sheetViews>
    <sheetView view="pageBreakPreview" zoomScale="90" zoomScaleNormal="100" zoomScaleSheetLayoutView="90" workbookViewId="0">
      <selection activeCell="D7" sqref="D7"/>
    </sheetView>
  </sheetViews>
  <sheetFormatPr baseColWidth="10" defaultColWidth="11.28515625" defaultRowHeight="16.5" x14ac:dyDescent="0.3"/>
  <cols>
    <col min="1" max="1" width="18.85546875" style="3" customWidth="1"/>
    <col min="2" max="7" width="11.28515625" style="3"/>
    <col min="8" max="8" width="12.140625" style="3" customWidth="1"/>
    <col min="9" max="9" width="14.28515625" style="3" customWidth="1"/>
    <col min="10" max="16384" width="11.28515625" style="3"/>
  </cols>
  <sheetData>
    <row r="1" spans="1:9" x14ac:dyDescent="0.3">
      <c r="A1" s="1287" t="str">
        <f>'CPCA-I-01'!A1:G1</f>
        <v>RADIO SONORA</v>
      </c>
      <c r="B1" s="1287"/>
      <c r="C1" s="1287"/>
      <c r="D1" s="1287"/>
      <c r="E1" s="1287"/>
      <c r="F1" s="1287"/>
      <c r="G1" s="1287"/>
      <c r="H1" s="1287"/>
      <c r="I1" s="1287"/>
    </row>
    <row r="2" spans="1:9" x14ac:dyDescent="0.3">
      <c r="A2" s="1288" t="s">
        <v>8</v>
      </c>
      <c r="B2" s="1288"/>
      <c r="C2" s="1288"/>
      <c r="D2" s="1288"/>
      <c r="E2" s="1288"/>
      <c r="F2" s="1288"/>
      <c r="G2" s="1288"/>
      <c r="H2" s="1288"/>
      <c r="I2" s="1288"/>
    </row>
    <row r="3" spans="1:9" x14ac:dyDescent="0.3">
      <c r="A3" s="1287"/>
      <c r="B3" s="1287"/>
      <c r="C3" s="1287"/>
      <c r="D3" s="1287"/>
      <c r="E3" s="1287"/>
      <c r="F3" s="1287"/>
      <c r="G3" s="1287"/>
      <c r="H3" s="1287"/>
      <c r="I3" s="1287"/>
    </row>
    <row r="4" spans="1:9" x14ac:dyDescent="0.3">
      <c r="A4" s="1287" t="str">
        <f>'CPCA-I-01'!A4:G4</f>
        <v>AL 31 DE DICIEMBRE DE 2024</v>
      </c>
      <c r="B4" s="1287"/>
      <c r="C4" s="1287"/>
      <c r="D4" s="1287"/>
      <c r="E4" s="1287"/>
      <c r="F4" s="1287"/>
      <c r="G4" s="1287"/>
      <c r="H4" s="1287"/>
      <c r="I4" s="1287"/>
    </row>
    <row r="5" spans="1:9" ht="18" customHeight="1" thickBot="1" x14ac:dyDescent="0.35">
      <c r="A5" s="5"/>
      <c r="B5" s="1289" t="s">
        <v>371</v>
      </c>
      <c r="C5" s="1289"/>
      <c r="D5" s="1289"/>
      <c r="E5" s="1289"/>
      <c r="F5" s="1289"/>
      <c r="G5" s="1289"/>
      <c r="H5" s="303"/>
      <c r="I5" s="5"/>
    </row>
    <row r="6" spans="1:9" x14ac:dyDescent="0.3">
      <c r="A6" s="8"/>
      <c r="B6" s="9"/>
      <c r="C6" s="9"/>
      <c r="D6" s="9"/>
      <c r="E6" s="9"/>
      <c r="F6" s="9"/>
      <c r="G6" s="9"/>
      <c r="H6" s="9"/>
      <c r="I6" s="10"/>
    </row>
    <row r="7" spans="1:9" x14ac:dyDescent="0.3">
      <c r="A7" s="11"/>
      <c r="B7" s="12"/>
      <c r="C7" s="12"/>
      <c r="D7" s="12"/>
      <c r="E7" s="12"/>
      <c r="F7" s="12"/>
      <c r="G7" s="12"/>
      <c r="H7" s="12"/>
      <c r="I7" s="13"/>
    </row>
    <row r="8" spans="1:9" x14ac:dyDescent="0.3">
      <c r="A8" s="14" t="s">
        <v>372</v>
      </c>
      <c r="B8" s="12"/>
      <c r="C8" s="12"/>
      <c r="D8" s="12"/>
      <c r="E8" s="12"/>
      <c r="F8" s="12"/>
      <c r="G8" s="12"/>
      <c r="H8" s="12"/>
      <c r="I8" s="13"/>
    </row>
    <row r="9" spans="1:9" x14ac:dyDescent="0.3">
      <c r="A9" s="14"/>
      <c r="B9" s="12"/>
      <c r="C9" s="12"/>
      <c r="D9" s="12"/>
      <c r="E9" s="12"/>
      <c r="F9" s="12"/>
      <c r="G9" s="12"/>
      <c r="H9" s="12"/>
      <c r="I9" s="13"/>
    </row>
    <row r="10" spans="1:9" x14ac:dyDescent="0.3">
      <c r="A10" s="14"/>
      <c r="B10" s="12"/>
      <c r="C10" s="12"/>
      <c r="D10" s="12"/>
      <c r="E10" s="12"/>
      <c r="F10" s="12"/>
      <c r="G10" s="12"/>
      <c r="H10" s="12"/>
      <c r="I10" s="13"/>
    </row>
    <row r="11" spans="1:9" x14ac:dyDescent="0.3">
      <c r="A11" s="14"/>
      <c r="B11" s="12"/>
      <c r="C11" s="12"/>
      <c r="D11" s="12"/>
      <c r="E11" s="12"/>
      <c r="F11" s="12"/>
      <c r="G11" s="12"/>
      <c r="H11" s="12"/>
      <c r="I11" s="13"/>
    </row>
    <row r="12" spans="1:9" x14ac:dyDescent="0.3">
      <c r="A12" s="14"/>
      <c r="B12" s="12"/>
      <c r="C12" s="12"/>
      <c r="D12" s="12"/>
      <c r="E12" s="12"/>
      <c r="F12" s="12"/>
      <c r="G12" s="12"/>
      <c r="H12" s="12"/>
      <c r="I12" s="13"/>
    </row>
    <row r="13" spans="1:9" ht="15.75" customHeight="1" x14ac:dyDescent="0.3">
      <c r="A13" s="11"/>
      <c r="B13" s="12"/>
      <c r="C13" s="15"/>
      <c r="D13" s="15"/>
      <c r="E13" s="15"/>
      <c r="F13" s="15"/>
      <c r="G13" s="15"/>
      <c r="H13" s="15"/>
      <c r="I13" s="13"/>
    </row>
    <row r="14" spans="1:9" ht="15" customHeight="1" thickBot="1" x14ac:dyDescent="0.35">
      <c r="A14" s="16"/>
      <c r="B14" s="1"/>
      <c r="C14" s="17"/>
      <c r="D14" s="17"/>
      <c r="E14" s="17"/>
      <c r="F14" s="17"/>
      <c r="G14" s="17"/>
      <c r="H14" s="17"/>
      <c r="I14" s="2"/>
    </row>
    <row r="15" spans="1:9" ht="15" customHeight="1" thickBot="1" x14ac:dyDescent="0.35">
      <c r="A15" s="11"/>
      <c r="B15" s="12"/>
      <c r="C15" s="15"/>
      <c r="D15" s="15"/>
      <c r="E15" s="15"/>
      <c r="F15" s="15"/>
      <c r="G15" s="15"/>
      <c r="H15" s="15"/>
      <c r="I15" s="13"/>
    </row>
    <row r="16" spans="1:9" ht="15" customHeight="1" x14ac:dyDescent="0.3">
      <c r="A16" s="11"/>
      <c r="B16" s="12"/>
      <c r="C16" s="1278" t="s">
        <v>1032</v>
      </c>
      <c r="D16" s="1279"/>
      <c r="E16" s="1279"/>
      <c r="F16" s="1279"/>
      <c r="G16" s="1279"/>
      <c r="H16" s="1280"/>
      <c r="I16" s="13"/>
    </row>
    <row r="17" spans="1:9" ht="15" customHeight="1" x14ac:dyDescent="0.3">
      <c r="A17" s="11"/>
      <c r="B17" s="12"/>
      <c r="C17" s="1281"/>
      <c r="D17" s="1282"/>
      <c r="E17" s="1282"/>
      <c r="F17" s="1282"/>
      <c r="G17" s="1282"/>
      <c r="H17" s="1283"/>
      <c r="I17" s="13"/>
    </row>
    <row r="18" spans="1:9" ht="15" customHeight="1" x14ac:dyDescent="0.3">
      <c r="A18" s="11"/>
      <c r="B18" s="12"/>
      <c r="C18" s="1281"/>
      <c r="D18" s="1282"/>
      <c r="E18" s="1282"/>
      <c r="F18" s="1282"/>
      <c r="G18" s="1282"/>
      <c r="H18" s="1283"/>
      <c r="I18" s="13"/>
    </row>
    <row r="19" spans="1:9" ht="15" customHeight="1" x14ac:dyDescent="0.3">
      <c r="A19" s="14" t="s">
        <v>373</v>
      </c>
      <c r="B19" s="12"/>
      <c r="C19" s="1281"/>
      <c r="D19" s="1282"/>
      <c r="E19" s="1282"/>
      <c r="F19" s="1282"/>
      <c r="G19" s="1282"/>
      <c r="H19" s="1283"/>
      <c r="I19" s="13"/>
    </row>
    <row r="20" spans="1:9" ht="15" customHeight="1" x14ac:dyDescent="0.3">
      <c r="A20" s="11"/>
      <c r="B20" s="12"/>
      <c r="C20" s="1281"/>
      <c r="D20" s="1282"/>
      <c r="E20" s="1282"/>
      <c r="F20" s="1282"/>
      <c r="G20" s="1282"/>
      <c r="H20" s="1283"/>
      <c r="I20" s="13"/>
    </row>
    <row r="21" spans="1:9" ht="15" customHeight="1" x14ac:dyDescent="0.3">
      <c r="A21" s="11"/>
      <c r="B21" s="12"/>
      <c r="C21" s="1281"/>
      <c r="D21" s="1282"/>
      <c r="E21" s="1282"/>
      <c r="F21" s="1282"/>
      <c r="G21" s="1282"/>
      <c r="H21" s="1283"/>
      <c r="I21" s="13"/>
    </row>
    <row r="22" spans="1:9" ht="15" customHeight="1" x14ac:dyDescent="0.3">
      <c r="A22" s="11"/>
      <c r="B22" s="12"/>
      <c r="C22" s="1281"/>
      <c r="D22" s="1282"/>
      <c r="E22" s="1282"/>
      <c r="F22" s="1282"/>
      <c r="G22" s="1282"/>
      <c r="H22" s="1283"/>
      <c r="I22" s="13"/>
    </row>
    <row r="23" spans="1:9" ht="15" customHeight="1" x14ac:dyDescent="0.3">
      <c r="A23" s="11"/>
      <c r="B23" s="12"/>
      <c r="C23" s="1281"/>
      <c r="D23" s="1282"/>
      <c r="E23" s="1282"/>
      <c r="F23" s="1282"/>
      <c r="G23" s="1282"/>
      <c r="H23" s="1283"/>
      <c r="I23" s="13"/>
    </row>
    <row r="24" spans="1:9" ht="15" customHeight="1" x14ac:dyDescent="0.3">
      <c r="A24" s="11"/>
      <c r="B24" s="12"/>
      <c r="C24" s="1281"/>
      <c r="D24" s="1282"/>
      <c r="E24" s="1282"/>
      <c r="F24" s="1282"/>
      <c r="G24" s="1282"/>
      <c r="H24" s="1283"/>
      <c r="I24" s="13"/>
    </row>
    <row r="25" spans="1:9" ht="15" customHeight="1" x14ac:dyDescent="0.3">
      <c r="A25" s="11"/>
      <c r="B25" s="12"/>
      <c r="C25" s="1281"/>
      <c r="D25" s="1282"/>
      <c r="E25" s="1282"/>
      <c r="F25" s="1282"/>
      <c r="G25" s="1282"/>
      <c r="H25" s="1283"/>
      <c r="I25" s="13"/>
    </row>
    <row r="26" spans="1:9" ht="15" customHeight="1" x14ac:dyDescent="0.3">
      <c r="A26" s="11"/>
      <c r="B26" s="12"/>
      <c r="C26" s="1281"/>
      <c r="D26" s="1282"/>
      <c r="E26" s="1282"/>
      <c r="F26" s="1282"/>
      <c r="G26" s="1282"/>
      <c r="H26" s="1283"/>
      <c r="I26" s="13"/>
    </row>
    <row r="27" spans="1:9" ht="14.25" customHeight="1" x14ac:dyDescent="0.3">
      <c r="A27" s="11"/>
      <c r="B27" s="12"/>
      <c r="C27" s="1281"/>
      <c r="D27" s="1282"/>
      <c r="E27" s="1282"/>
      <c r="F27" s="1282"/>
      <c r="G27" s="1282"/>
      <c r="H27" s="1283"/>
      <c r="I27" s="13"/>
    </row>
    <row r="28" spans="1:9" ht="15.75" customHeight="1" x14ac:dyDescent="0.3">
      <c r="A28" s="11"/>
      <c r="B28" s="12"/>
      <c r="C28" s="1281"/>
      <c r="D28" s="1282"/>
      <c r="E28" s="1282"/>
      <c r="F28" s="1282"/>
      <c r="G28" s="1282"/>
      <c r="H28" s="1283"/>
      <c r="I28" s="13"/>
    </row>
    <row r="29" spans="1:9" x14ac:dyDescent="0.3">
      <c r="A29" s="11"/>
      <c r="B29" s="12"/>
      <c r="C29" s="1281"/>
      <c r="D29" s="1282"/>
      <c r="E29" s="1282"/>
      <c r="F29" s="1282"/>
      <c r="G29" s="1282"/>
      <c r="H29" s="1283"/>
      <c r="I29" s="13"/>
    </row>
    <row r="30" spans="1:9" ht="17.25" thickBot="1" x14ac:dyDescent="0.35">
      <c r="A30" s="11"/>
      <c r="B30" s="12"/>
      <c r="C30" s="1284"/>
      <c r="D30" s="1285"/>
      <c r="E30" s="1285"/>
      <c r="F30" s="1285"/>
      <c r="G30" s="1285"/>
      <c r="H30" s="1286"/>
      <c r="I30" s="13"/>
    </row>
    <row r="31" spans="1:9" ht="17.25" thickBot="1" x14ac:dyDescent="0.35">
      <c r="A31" s="16"/>
      <c r="B31" s="1"/>
      <c r="C31" s="1"/>
      <c r="D31" s="1"/>
      <c r="E31" s="1"/>
      <c r="F31" s="1"/>
      <c r="G31" s="1"/>
      <c r="H31" s="1"/>
      <c r="I31" s="2"/>
    </row>
    <row r="32" spans="1:9" x14ac:dyDescent="0.3">
      <c r="A32" s="11"/>
      <c r="B32" s="12"/>
      <c r="C32" s="12"/>
      <c r="D32" s="12"/>
      <c r="E32" s="12"/>
      <c r="F32" s="12"/>
      <c r="G32" s="12"/>
      <c r="H32" s="12"/>
      <c r="I32" s="13"/>
    </row>
    <row r="33" spans="1:9" x14ac:dyDescent="0.3">
      <c r="A33" s="14" t="s">
        <v>374</v>
      </c>
      <c r="B33" s="12"/>
      <c r="C33" s="12"/>
      <c r="D33" s="12"/>
      <c r="E33" s="12"/>
      <c r="F33" s="12"/>
      <c r="G33" s="12"/>
      <c r="H33" s="12"/>
      <c r="I33" s="13"/>
    </row>
    <row r="34" spans="1:9" x14ac:dyDescent="0.3">
      <c r="A34" s="11"/>
      <c r="B34" s="12"/>
      <c r="C34" s="12"/>
      <c r="D34" s="12"/>
      <c r="E34" s="12"/>
      <c r="F34" s="12"/>
      <c r="G34" s="12"/>
      <c r="H34" s="12"/>
      <c r="I34" s="13"/>
    </row>
    <row r="35" spans="1:9" x14ac:dyDescent="0.3">
      <c r="A35" s="11"/>
      <c r="B35" s="12"/>
      <c r="C35" s="12"/>
      <c r="D35" s="12"/>
      <c r="E35" s="12"/>
      <c r="F35" s="12"/>
      <c r="G35" s="12"/>
      <c r="H35" s="12"/>
      <c r="I35" s="13"/>
    </row>
    <row r="36" spans="1:9" x14ac:dyDescent="0.3">
      <c r="A36" s="11"/>
      <c r="B36" s="12"/>
      <c r="C36" s="12"/>
      <c r="D36" s="12"/>
      <c r="E36" s="12"/>
      <c r="F36" s="12"/>
      <c r="G36" s="12"/>
      <c r="H36" s="12"/>
      <c r="I36" s="13"/>
    </row>
    <row r="37" spans="1:9" x14ac:dyDescent="0.3">
      <c r="A37" s="11"/>
      <c r="B37" s="12"/>
      <c r="C37" s="12"/>
      <c r="D37" s="12"/>
      <c r="E37" s="12"/>
      <c r="F37" s="12"/>
      <c r="G37" s="12"/>
      <c r="H37" s="12"/>
      <c r="I37" s="13"/>
    </row>
    <row r="38" spans="1:9" x14ac:dyDescent="0.3">
      <c r="A38" s="11"/>
      <c r="B38" s="12"/>
      <c r="C38" s="12"/>
      <c r="D38" s="12"/>
      <c r="E38" s="12"/>
      <c r="F38" s="12"/>
      <c r="G38" s="12"/>
      <c r="H38" s="12"/>
      <c r="I38" s="13"/>
    </row>
    <row r="39" spans="1:9" x14ac:dyDescent="0.3">
      <c r="A39" s="11"/>
      <c r="B39" s="12"/>
      <c r="C39" s="12"/>
      <c r="D39" s="12"/>
      <c r="E39" s="12"/>
      <c r="F39" s="12"/>
      <c r="G39" s="12"/>
      <c r="H39" s="12"/>
      <c r="I39" s="13"/>
    </row>
    <row r="40" spans="1:9" x14ac:dyDescent="0.3">
      <c r="A40" s="11"/>
      <c r="B40" s="12"/>
      <c r="C40" s="12"/>
      <c r="D40" s="12"/>
      <c r="E40" s="12"/>
      <c r="F40" s="12"/>
      <c r="G40" s="12"/>
      <c r="H40" s="12"/>
      <c r="I40" s="13"/>
    </row>
    <row r="41" spans="1:9" ht="17.25" thickBot="1" x14ac:dyDescent="0.35">
      <c r="A41" s="16"/>
      <c r="B41" s="1"/>
      <c r="C41" s="1"/>
      <c r="D41" s="1"/>
      <c r="E41" s="1"/>
      <c r="F41" s="1"/>
      <c r="G41" s="1"/>
      <c r="H41" s="1"/>
      <c r="I41" s="2"/>
    </row>
    <row r="42" spans="1:9" x14ac:dyDescent="0.3">
      <c r="A42" s="3" t="s">
        <v>244</v>
      </c>
    </row>
    <row r="48" spans="1:9" x14ac:dyDescent="0.3">
      <c r="A48" s="12"/>
      <c r="B48" s="12"/>
      <c r="C48" s="12"/>
      <c r="D48" s="12"/>
      <c r="E48" s="12"/>
      <c r="F48" s="12"/>
      <c r="G48" s="12"/>
      <c r="H48" s="12"/>
      <c r="I48" s="12"/>
    </row>
    <row r="49" spans="1:9" x14ac:dyDescent="0.3">
      <c r="A49" s="12"/>
      <c r="B49" s="12"/>
      <c r="C49" s="12"/>
      <c r="D49" s="12"/>
      <c r="E49" s="12"/>
      <c r="F49" s="12"/>
      <c r="G49" s="12"/>
      <c r="H49" s="12"/>
      <c r="I49" s="12"/>
    </row>
    <row r="50" spans="1:9" x14ac:dyDescent="0.3">
      <c r="A50" s="12"/>
      <c r="B50" s="12"/>
      <c r="C50" s="12"/>
      <c r="D50" s="12"/>
      <c r="E50" s="12"/>
      <c r="F50" s="12"/>
      <c r="G50" s="12"/>
      <c r="H50" s="12"/>
      <c r="I50" s="12"/>
    </row>
  </sheetData>
  <mergeCells count="6">
    <mergeCell ref="C16:H30"/>
    <mergeCell ref="A1:I1"/>
    <mergeCell ref="A3:I3"/>
    <mergeCell ref="A2:I2"/>
    <mergeCell ref="A4:I4"/>
    <mergeCell ref="B5:G5"/>
  </mergeCells>
  <pageMargins left="0.43307086614173229" right="0.31496062992125984" top="0.55118110236220474" bottom="0.74803149606299213" header="0.31496062992125984" footer="0.31496062992125984"/>
  <pageSetup scale="8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7"/>
  <sheetViews>
    <sheetView topLeftCell="A365" zoomScaleNormal="100" workbookViewId="0">
      <selection activeCell="D371" sqref="D371"/>
    </sheetView>
  </sheetViews>
  <sheetFormatPr baseColWidth="10" defaultRowHeight="15" x14ac:dyDescent="0.25"/>
  <cols>
    <col min="1" max="1" width="5.5703125" customWidth="1"/>
    <col min="2" max="2" width="14.42578125" customWidth="1"/>
    <col min="3" max="3" width="14.140625" bestFit="1" customWidth="1"/>
    <col min="4" max="4" width="12.5703125" customWidth="1"/>
    <col min="5" max="5" width="14.85546875" customWidth="1"/>
    <col min="6" max="6" width="15.7109375" customWidth="1"/>
    <col min="7" max="7" width="15.85546875" customWidth="1"/>
    <col min="8" max="8" width="5" customWidth="1"/>
    <col min="9" max="9" width="2.42578125" customWidth="1"/>
    <col min="10" max="10" width="11.42578125" customWidth="1"/>
  </cols>
  <sheetData>
    <row r="1" spans="1:10" x14ac:dyDescent="0.25">
      <c r="A1" s="1311" t="s">
        <v>1028</v>
      </c>
      <c r="B1" s="1311"/>
      <c r="C1" s="1311"/>
      <c r="D1" s="1311"/>
      <c r="E1" s="1311"/>
      <c r="F1" s="1311"/>
      <c r="G1" s="1311"/>
      <c r="H1" s="1311"/>
      <c r="I1" s="1311"/>
    </row>
    <row r="2" spans="1:10" x14ac:dyDescent="0.25">
      <c r="A2" s="1311" t="s">
        <v>9</v>
      </c>
      <c r="B2" s="1311"/>
      <c r="C2" s="1311"/>
      <c r="D2" s="1311"/>
      <c r="E2" s="1311"/>
      <c r="F2" s="1311"/>
      <c r="G2" s="1311"/>
      <c r="H2" s="1311"/>
      <c r="I2" s="1311"/>
    </row>
    <row r="3" spans="1:10" ht="14.25" customHeight="1" x14ac:dyDescent="0.25">
      <c r="A3" s="1311"/>
      <c r="B3" s="1311"/>
      <c r="C3" s="1311"/>
      <c r="D3" s="1311"/>
      <c r="E3" s="1311"/>
      <c r="F3" s="1311"/>
      <c r="G3" s="1311"/>
      <c r="H3" s="1311"/>
      <c r="I3" s="1311"/>
    </row>
    <row r="4" spans="1:10" ht="16.5" x14ac:dyDescent="0.25">
      <c r="A4" s="1287" t="str">
        <f>'CPCA-I-11'!A4:I4</f>
        <v>AL 31 DE DICIEMBRE DE 2024</v>
      </c>
      <c r="B4" s="1287"/>
      <c r="C4" s="1287"/>
      <c r="D4" s="1287"/>
      <c r="E4" s="1287"/>
      <c r="F4" s="1287"/>
      <c r="G4" s="1287"/>
      <c r="H4" s="1287"/>
      <c r="I4" s="1287"/>
      <c r="J4" s="966"/>
    </row>
    <row r="5" spans="1:10" ht="18" customHeight="1" x14ac:dyDescent="0.25">
      <c r="A5" s="1312" t="s">
        <v>84</v>
      </c>
      <c r="B5" s="1312"/>
      <c r="C5" s="1312"/>
      <c r="D5" s="1312"/>
      <c r="E5" s="1312"/>
      <c r="F5" s="1312"/>
      <c r="G5" s="1312"/>
      <c r="H5" s="1312"/>
      <c r="I5" s="1312"/>
    </row>
    <row r="6" spans="1:10" x14ac:dyDescent="0.25">
      <c r="F6" s="967"/>
    </row>
    <row r="7" spans="1:10" s="1044" customFormat="1" x14ac:dyDescent="0.25">
      <c r="A7" s="620" t="s">
        <v>2239</v>
      </c>
      <c r="F7" s="967"/>
    </row>
    <row r="8" spans="1:10" s="1044" customFormat="1" x14ac:dyDescent="0.25">
      <c r="F8" s="967"/>
    </row>
    <row r="9" spans="1:10" x14ac:dyDescent="0.25">
      <c r="A9" t="s">
        <v>1033</v>
      </c>
    </row>
    <row r="11" spans="1:10" x14ac:dyDescent="0.25">
      <c r="A11" t="s">
        <v>23</v>
      </c>
    </row>
    <row r="12" spans="1:10" x14ac:dyDescent="0.25">
      <c r="A12" t="s">
        <v>1034</v>
      </c>
    </row>
    <row r="14" spans="1:10" ht="44.25" customHeight="1" x14ac:dyDescent="0.25">
      <c r="A14" s="1313" t="s">
        <v>1035</v>
      </c>
      <c r="B14" s="1313"/>
      <c r="C14" s="1313"/>
      <c r="D14" s="1313"/>
      <c r="E14" s="1313"/>
      <c r="F14" s="1313"/>
      <c r="G14" s="1313"/>
      <c r="H14" s="1313"/>
      <c r="I14" s="1313"/>
    </row>
    <row r="16" spans="1:10" x14ac:dyDescent="0.25">
      <c r="A16" t="s">
        <v>2278</v>
      </c>
    </row>
    <row r="17" spans="1:6" x14ac:dyDescent="0.25">
      <c r="A17" t="s">
        <v>245</v>
      </c>
      <c r="E17" s="973" t="s">
        <v>1036</v>
      </c>
    </row>
    <row r="18" spans="1:6" x14ac:dyDescent="0.25">
      <c r="A18" t="s">
        <v>1037</v>
      </c>
      <c r="E18" s="974">
        <v>45657</v>
      </c>
    </row>
    <row r="20" spans="1:6" x14ac:dyDescent="0.25">
      <c r="A20" t="s">
        <v>1038</v>
      </c>
      <c r="E20" s="969">
        <f>'CPCA-I-02'!B10</f>
        <v>1504.99</v>
      </c>
    </row>
    <row r="21" spans="1:6" x14ac:dyDescent="0.25">
      <c r="A21" t="s">
        <v>1039</v>
      </c>
      <c r="E21" s="969">
        <f>'CPCA-I-02'!B11</f>
        <v>3329472.38</v>
      </c>
    </row>
    <row r="22" spans="1:6" x14ac:dyDescent="0.25">
      <c r="A22" t="s">
        <v>1040</v>
      </c>
      <c r="E22" s="969">
        <f>'CPCA-I-02'!B15</f>
        <v>11544.4</v>
      </c>
    </row>
    <row r="23" spans="1:6" x14ac:dyDescent="0.25">
      <c r="A23" t="s">
        <v>760</v>
      </c>
      <c r="E23" s="970">
        <f>E20+E21+E22</f>
        <v>3342521.77</v>
      </c>
    </row>
    <row r="25" spans="1:6" ht="15.75" customHeight="1" x14ac:dyDescent="0.25">
      <c r="A25" t="s">
        <v>1041</v>
      </c>
    </row>
    <row r="27" spans="1:6" x14ac:dyDescent="0.25">
      <c r="A27" t="s">
        <v>1042</v>
      </c>
    </row>
    <row r="29" spans="1:6" x14ac:dyDescent="0.25">
      <c r="A29" t="s">
        <v>2279</v>
      </c>
    </row>
    <row r="30" spans="1:6" x14ac:dyDescent="0.25">
      <c r="A30" t="s">
        <v>245</v>
      </c>
      <c r="F30" s="973" t="s">
        <v>1036</v>
      </c>
    </row>
    <row r="31" spans="1:6" x14ac:dyDescent="0.25">
      <c r="A31" t="s">
        <v>1043</v>
      </c>
      <c r="F31" s="974">
        <f>E18</f>
        <v>45657</v>
      </c>
    </row>
    <row r="33" spans="1:9" x14ac:dyDescent="0.25">
      <c r="A33" t="s">
        <v>1044</v>
      </c>
      <c r="F33" s="969">
        <f>'CPCA-I-02'!B19</f>
        <v>682.17</v>
      </c>
    </row>
    <row r="34" spans="1:9" x14ac:dyDescent="0.25">
      <c r="A34" t="s">
        <v>1045</v>
      </c>
      <c r="F34" s="969">
        <f>'CPCA-I-02'!B20</f>
        <v>117641.48</v>
      </c>
    </row>
    <row r="35" spans="1:9" x14ac:dyDescent="0.25">
      <c r="A35" t="s">
        <v>1046</v>
      </c>
      <c r="F35" s="969">
        <f>'CPCA-I-02'!B21</f>
        <v>3635.16</v>
      </c>
    </row>
    <row r="36" spans="1:9" x14ac:dyDescent="0.25">
      <c r="A36" t="s">
        <v>1047</v>
      </c>
      <c r="F36" s="969">
        <f>'CPCA-I-02'!B24</f>
        <v>0</v>
      </c>
    </row>
    <row r="37" spans="1:9" x14ac:dyDescent="0.25">
      <c r="A37" t="s">
        <v>760</v>
      </c>
      <c r="F37" s="970">
        <f>SUM(F33:F36)</f>
        <v>121958.81</v>
      </c>
      <c r="G37" s="969"/>
    </row>
    <row r="38" spans="1:9" s="1001" customFormat="1" x14ac:dyDescent="0.25">
      <c r="F38" s="970"/>
      <c r="G38" s="969"/>
    </row>
    <row r="39" spans="1:9" s="1001" customFormat="1" x14ac:dyDescent="0.25">
      <c r="A39" s="1001" t="s">
        <v>1236</v>
      </c>
      <c r="F39" s="970"/>
      <c r="G39" s="969"/>
    </row>
    <row r="40" spans="1:9" s="1001" customFormat="1" x14ac:dyDescent="0.25">
      <c r="F40" s="970"/>
      <c r="G40" s="969"/>
    </row>
    <row r="41" spans="1:9" s="1001" customFormat="1" ht="45" x14ac:dyDescent="0.25">
      <c r="B41" s="1013" t="s">
        <v>1237</v>
      </c>
      <c r="C41" s="1013" t="s">
        <v>1238</v>
      </c>
      <c r="D41" s="1013" t="s">
        <v>1239</v>
      </c>
      <c r="E41" s="1013" t="s">
        <v>1240</v>
      </c>
      <c r="F41" s="970"/>
      <c r="G41" s="969"/>
    </row>
    <row r="42" spans="1:9" s="1001" customFormat="1" x14ac:dyDescent="0.25">
      <c r="B42" s="1014"/>
      <c r="C42" s="1014">
        <f>F34</f>
        <v>117641.48</v>
      </c>
      <c r="D42" s="1014">
        <f>F33+F35</f>
        <v>4317.33</v>
      </c>
      <c r="E42" s="1014">
        <f>F36</f>
        <v>0</v>
      </c>
      <c r="F42" s="970"/>
      <c r="G42" s="969"/>
    </row>
    <row r="43" spans="1:9" s="1001" customFormat="1" x14ac:dyDescent="0.25">
      <c r="F43" s="970"/>
      <c r="G43" s="969"/>
    </row>
    <row r="44" spans="1:9" ht="51.75" customHeight="1" x14ac:dyDescent="0.25">
      <c r="A44" s="973" t="s">
        <v>1048</v>
      </c>
      <c r="B44" s="1314" t="s">
        <v>2241</v>
      </c>
      <c r="C44" s="1314"/>
      <c r="D44" s="1314"/>
      <c r="E44" s="1314"/>
      <c r="F44" s="1314"/>
      <c r="G44" s="1314"/>
      <c r="H44" s="1314"/>
      <c r="I44" s="1314"/>
    </row>
    <row r="45" spans="1:9" ht="29.25" customHeight="1" x14ac:dyDescent="0.25">
      <c r="A45" s="973" t="s">
        <v>1049</v>
      </c>
      <c r="B45" s="1315" t="s">
        <v>1050</v>
      </c>
      <c r="C45" s="1315"/>
      <c r="D45" s="1315"/>
      <c r="E45" s="1315"/>
      <c r="F45" s="1315"/>
      <c r="G45" s="1315"/>
      <c r="H45" s="1315"/>
      <c r="I45" s="1315"/>
    </row>
    <row r="46" spans="1:9" x14ac:dyDescent="0.25">
      <c r="A46" s="973" t="s">
        <v>1051</v>
      </c>
      <c r="B46" t="s">
        <v>1052</v>
      </c>
    </row>
    <row r="47" spans="1:9" x14ac:dyDescent="0.25">
      <c r="A47" s="973" t="s">
        <v>1053</v>
      </c>
      <c r="B47" t="s">
        <v>1054</v>
      </c>
    </row>
    <row r="49" spans="1:14" x14ac:dyDescent="0.25">
      <c r="A49" t="s">
        <v>1055</v>
      </c>
    </row>
    <row r="51" spans="1:14" x14ac:dyDescent="0.25">
      <c r="A51" t="s">
        <v>2280</v>
      </c>
    </row>
    <row r="52" spans="1:14" ht="29.25" customHeight="1" x14ac:dyDescent="0.25">
      <c r="A52" s="1323"/>
      <c r="B52" s="1323"/>
      <c r="C52" s="1323"/>
      <c r="D52" s="1323"/>
      <c r="E52" s="1323"/>
      <c r="F52" s="1323"/>
      <c r="G52" s="1297"/>
      <c r="H52" s="1297"/>
      <c r="I52" s="1297"/>
      <c r="J52" s="1297"/>
      <c r="K52" s="1297"/>
      <c r="L52" s="1297"/>
      <c r="M52" s="1053"/>
      <c r="N52" s="1044"/>
    </row>
    <row r="53" spans="1:14" x14ac:dyDescent="0.25">
      <c r="A53" s="1298"/>
      <c r="B53" s="1298"/>
      <c r="C53" s="1298"/>
      <c r="D53" s="1298"/>
      <c r="E53" s="1298"/>
      <c r="F53" s="1298"/>
      <c r="G53" s="1299"/>
      <c r="H53" s="1299"/>
      <c r="I53" s="1299"/>
      <c r="J53" s="1300"/>
      <c r="K53" s="1300"/>
      <c r="L53" s="1300"/>
      <c r="M53" s="1054"/>
      <c r="N53" s="1044"/>
    </row>
    <row r="54" spans="1:14" s="1044" customFormat="1" x14ac:dyDescent="0.25">
      <c r="A54" s="1179"/>
      <c r="B54" s="1179"/>
      <c r="C54" s="1179"/>
      <c r="D54" s="1179"/>
      <c r="E54" s="1179"/>
      <c r="F54" s="1179"/>
      <c r="G54" s="1180"/>
      <c r="H54" s="1180"/>
      <c r="I54" s="1180"/>
      <c r="J54" s="1181"/>
      <c r="K54" s="1181"/>
      <c r="L54" s="1181"/>
      <c r="M54" s="1054"/>
    </row>
    <row r="55" spans="1:14" s="1044" customFormat="1" x14ac:dyDescent="0.25">
      <c r="A55" s="1179"/>
      <c r="B55" s="1179"/>
      <c r="C55" s="1179"/>
      <c r="D55" s="1179"/>
      <c r="E55" s="1179"/>
      <c r="F55" s="1179"/>
      <c r="G55" s="1180"/>
      <c r="H55" s="1180"/>
      <c r="I55" s="1180"/>
      <c r="J55" s="1181"/>
      <c r="K55" s="1181"/>
      <c r="L55" s="1181"/>
      <c r="M55" s="1054"/>
    </row>
    <row r="56" spans="1:14" s="1044" customFormat="1" x14ac:dyDescent="0.25">
      <c r="A56" s="1179"/>
      <c r="B56" s="1179"/>
      <c r="C56" s="1179"/>
      <c r="D56" s="1179"/>
      <c r="E56" s="1179"/>
      <c r="F56" s="1179"/>
      <c r="G56" s="1180"/>
      <c r="H56" s="1180"/>
      <c r="I56" s="1180"/>
      <c r="J56" s="1181"/>
      <c r="K56" s="1181"/>
      <c r="L56" s="1181"/>
      <c r="M56" s="1054"/>
    </row>
    <row r="57" spans="1:14" s="1044" customFormat="1" x14ac:dyDescent="0.25">
      <c r="A57" s="1179"/>
      <c r="B57" s="1179"/>
      <c r="C57" s="1179"/>
      <c r="D57" s="1179"/>
      <c r="E57" s="1179"/>
      <c r="F57" s="1179"/>
      <c r="G57" s="1180"/>
      <c r="H57" s="1180"/>
      <c r="I57" s="1180"/>
      <c r="J57" s="1181"/>
      <c r="K57" s="1181"/>
      <c r="L57" s="1181"/>
      <c r="M57" s="1054"/>
    </row>
    <row r="58" spans="1:14" s="1044" customFormat="1" x14ac:dyDescent="0.25">
      <c r="A58" s="1179"/>
      <c r="B58" s="1179"/>
      <c r="C58" s="1179"/>
      <c r="D58" s="1179"/>
      <c r="E58" s="1179"/>
      <c r="F58" s="1179"/>
      <c r="G58" s="1180"/>
      <c r="H58" s="1180"/>
      <c r="I58" s="1180"/>
      <c r="J58" s="1181"/>
      <c r="K58" s="1181"/>
      <c r="L58" s="1181"/>
      <c r="M58" s="1054"/>
    </row>
    <row r="59" spans="1:14" s="1044" customFormat="1" x14ac:dyDescent="0.25">
      <c r="A59" s="1179"/>
      <c r="B59" s="1179"/>
      <c r="C59" s="1179"/>
      <c r="D59" s="1179"/>
      <c r="E59" s="1179"/>
      <c r="F59" s="1179"/>
      <c r="G59" s="1180"/>
      <c r="H59" s="1180"/>
      <c r="I59" s="1180"/>
      <c r="J59" s="1181"/>
      <c r="K59" s="1181"/>
      <c r="L59" s="1181"/>
      <c r="M59" s="1054"/>
    </row>
    <row r="60" spans="1:14" s="1044" customFormat="1" x14ac:dyDescent="0.25">
      <c r="A60" s="1179"/>
      <c r="B60" s="1179"/>
      <c r="C60" s="1179"/>
      <c r="D60" s="1179"/>
      <c r="E60" s="1179"/>
      <c r="F60" s="1179"/>
      <c r="G60" s="1180"/>
      <c r="H60" s="1180"/>
      <c r="I60" s="1180"/>
      <c r="J60" s="1181"/>
      <c r="K60" s="1181"/>
      <c r="L60" s="1181"/>
      <c r="M60" s="1054"/>
    </row>
    <row r="61" spans="1:14" s="1044" customFormat="1" x14ac:dyDescent="0.25">
      <c r="A61" s="1179"/>
      <c r="B61" s="1179"/>
      <c r="C61" s="1179"/>
      <c r="D61" s="1179"/>
      <c r="E61" s="1179"/>
      <c r="F61" s="1179"/>
      <c r="G61" s="1180"/>
      <c r="H61" s="1180"/>
      <c r="I61" s="1180"/>
      <c r="J61" s="1181"/>
      <c r="K61" s="1181"/>
      <c r="L61" s="1181"/>
      <c r="M61" s="1054"/>
    </row>
    <row r="62" spans="1:14" s="1044" customFormat="1" x14ac:dyDescent="0.25">
      <c r="A62" s="1179"/>
      <c r="B62" s="1179"/>
      <c r="C62" s="1179"/>
      <c r="D62" s="1179"/>
      <c r="E62" s="1179"/>
      <c r="F62" s="1179"/>
      <c r="G62" s="1180"/>
      <c r="H62" s="1180"/>
      <c r="I62" s="1180"/>
      <c r="J62" s="1181"/>
      <c r="K62" s="1181"/>
      <c r="L62" s="1181"/>
      <c r="M62" s="1054"/>
    </row>
    <row r="63" spans="1:14" s="1044" customFormat="1" x14ac:dyDescent="0.25">
      <c r="A63" s="1179"/>
      <c r="B63" s="1179"/>
      <c r="C63" s="1179"/>
      <c r="D63" s="1179"/>
      <c r="E63" s="1179"/>
      <c r="F63" s="1179"/>
      <c r="G63" s="1180"/>
      <c r="H63" s="1180"/>
      <c r="I63" s="1180"/>
      <c r="J63" s="1181"/>
      <c r="K63" s="1181"/>
      <c r="L63" s="1181"/>
      <c r="M63" s="1054"/>
    </row>
    <row r="64" spans="1:14" x14ac:dyDescent="0.25">
      <c r="A64" s="1298"/>
      <c r="B64" s="1298"/>
      <c r="C64" s="1298"/>
      <c r="D64" s="1298"/>
      <c r="E64" s="1298"/>
      <c r="F64" s="1298"/>
      <c r="G64" s="1299"/>
      <c r="H64" s="1299"/>
      <c r="I64" s="1299"/>
      <c r="J64" s="1300"/>
      <c r="K64" s="1300"/>
      <c r="L64" s="1300"/>
      <c r="M64" s="1055"/>
      <c r="N64" s="1044"/>
    </row>
    <row r="65" spans="1:13" ht="15" customHeight="1" x14ac:dyDescent="0.25">
      <c r="A65" s="1298"/>
      <c r="B65" s="1298"/>
      <c r="C65" s="1298"/>
      <c r="D65" s="1298"/>
      <c r="E65" s="1298"/>
      <c r="F65" s="1298"/>
      <c r="G65" s="1299"/>
      <c r="H65" s="1299"/>
      <c r="I65" s="1299"/>
      <c r="J65" s="1300"/>
      <c r="K65" s="1300"/>
      <c r="L65" s="1300"/>
      <c r="M65" s="1055"/>
    </row>
    <row r="66" spans="1:13" s="1044" customFormat="1" ht="15" customHeight="1" x14ac:dyDescent="0.25">
      <c r="A66" s="1179"/>
      <c r="B66" s="1179"/>
      <c r="C66" s="1179"/>
      <c r="D66" s="1179"/>
      <c r="E66" s="1179"/>
      <c r="F66" s="1179"/>
      <c r="G66" s="1180"/>
      <c r="H66" s="1180"/>
      <c r="I66" s="1180"/>
      <c r="J66" s="1181"/>
      <c r="K66" s="1181"/>
      <c r="L66" s="1181"/>
      <c r="M66" s="1055"/>
    </row>
    <row r="67" spans="1:13" s="1044" customFormat="1" x14ac:dyDescent="0.25"/>
    <row r="68" spans="1:13" ht="29.25" customHeight="1" x14ac:dyDescent="0.25">
      <c r="A68" s="1313" t="s">
        <v>1056</v>
      </c>
      <c r="B68" s="1313"/>
      <c r="C68" s="1313"/>
      <c r="D68" s="1313"/>
      <c r="E68" s="1313"/>
      <c r="F68" s="1313"/>
      <c r="G68" s="1313"/>
      <c r="H68" s="1313"/>
      <c r="I68" s="1313"/>
    </row>
    <row r="70" spans="1:13" x14ac:dyDescent="0.25">
      <c r="A70" t="s">
        <v>24</v>
      </c>
    </row>
    <row r="71" spans="1:13" x14ac:dyDescent="0.25">
      <c r="A71" t="s">
        <v>1057</v>
      </c>
    </row>
    <row r="73" spans="1:13" x14ac:dyDescent="0.25">
      <c r="A73" t="str">
        <f>A51</f>
        <v>Esta cuenta se integra como sigue al 31 de Diciembre 2024</v>
      </c>
    </row>
    <row r="74" spans="1:13" x14ac:dyDescent="0.25">
      <c r="A74" t="s">
        <v>245</v>
      </c>
      <c r="F74" s="973" t="s">
        <v>1036</v>
      </c>
    </row>
    <row r="75" spans="1:13" x14ac:dyDescent="0.25">
      <c r="A75" t="s">
        <v>1037</v>
      </c>
      <c r="F75" s="974">
        <f>E18</f>
        <v>45657</v>
      </c>
    </row>
    <row r="76" spans="1:13" x14ac:dyDescent="0.25">
      <c r="F76" s="968"/>
    </row>
    <row r="77" spans="1:13" x14ac:dyDescent="0.25">
      <c r="A77" t="s">
        <v>1058</v>
      </c>
      <c r="F77" s="975">
        <f>'CPCA-I-02'!F10</f>
        <v>791014.75</v>
      </c>
    </row>
    <row r="78" spans="1:13" x14ac:dyDescent="0.25">
      <c r="A78" t="s">
        <v>1059</v>
      </c>
      <c r="F78" s="975">
        <f>'CPCA-I-02'!F11</f>
        <v>44724.41</v>
      </c>
    </row>
    <row r="79" spans="1:13" x14ac:dyDescent="0.25">
      <c r="A79" t="s">
        <v>1060</v>
      </c>
      <c r="F79" s="975">
        <f>'CPCA-I-02'!F16</f>
        <v>19509395.129999999</v>
      </c>
    </row>
    <row r="80" spans="1:13" x14ac:dyDescent="0.25">
      <c r="A80" t="s">
        <v>1061</v>
      </c>
      <c r="F80" s="975">
        <v>0</v>
      </c>
    </row>
    <row r="81" spans="1:9" x14ac:dyDescent="0.25">
      <c r="A81" t="s">
        <v>1062</v>
      </c>
      <c r="F81" s="975">
        <f>'CPCA-I-02'!F43</f>
        <v>116301.72</v>
      </c>
    </row>
    <row r="82" spans="1:9" x14ac:dyDescent="0.25">
      <c r="F82" s="968"/>
    </row>
    <row r="83" spans="1:9" x14ac:dyDescent="0.25">
      <c r="A83" t="s">
        <v>760</v>
      </c>
      <c r="F83" s="972">
        <f>SUM(F77:F82)</f>
        <v>20461436.009999998</v>
      </c>
    </row>
    <row r="84" spans="1:9" s="1001" customFormat="1" x14ac:dyDescent="0.25">
      <c r="F84" s="972"/>
    </row>
    <row r="85" spans="1:9" s="1001" customFormat="1" ht="25.5" x14ac:dyDescent="0.25">
      <c r="A85" s="1015" t="s">
        <v>1241</v>
      </c>
      <c r="B85" s="1016">
        <v>90</v>
      </c>
      <c r="C85" s="1016">
        <v>180</v>
      </c>
      <c r="D85" s="1016" t="s">
        <v>1242</v>
      </c>
      <c r="E85" s="1016" t="s">
        <v>1243</v>
      </c>
      <c r="F85" s="1016" t="s">
        <v>760</v>
      </c>
      <c r="G85" s="1019"/>
      <c r="H85" s="1019"/>
    </row>
    <row r="86" spans="1:9" s="1001" customFormat="1" ht="38.25" x14ac:dyDescent="0.25">
      <c r="A86" s="1015" t="s">
        <v>1244</v>
      </c>
      <c r="B86" s="1017">
        <f>F77+F78</f>
        <v>835739.16</v>
      </c>
      <c r="C86" s="1017">
        <v>0</v>
      </c>
      <c r="D86" s="1017">
        <f>F81</f>
        <v>116301.72</v>
      </c>
      <c r="E86" s="1018">
        <f>F79</f>
        <v>19509395.129999999</v>
      </c>
      <c r="F86" s="1018">
        <f>B86+C86+D86+E86</f>
        <v>20461436.009999998</v>
      </c>
      <c r="G86" s="1020"/>
      <c r="H86" s="1020"/>
    </row>
    <row r="87" spans="1:9" s="1001" customFormat="1" x14ac:dyDescent="0.25">
      <c r="F87" s="972"/>
    </row>
    <row r="88" spans="1:9" ht="30" customHeight="1" x14ac:dyDescent="0.25">
      <c r="A88" s="973" t="s">
        <v>1048</v>
      </c>
      <c r="B88" s="1315" t="s">
        <v>1063</v>
      </c>
      <c r="C88" s="1315"/>
      <c r="D88" s="1315"/>
      <c r="E88" s="1315"/>
      <c r="F88" s="1315"/>
      <c r="G88" s="1315"/>
      <c r="H88" s="1315"/>
      <c r="I88" s="1315"/>
    </row>
    <row r="89" spans="1:9" ht="30" customHeight="1" x14ac:dyDescent="0.25">
      <c r="A89" s="973" t="s">
        <v>1049</v>
      </c>
      <c r="B89" s="1315" t="s">
        <v>2281</v>
      </c>
      <c r="C89" s="1315"/>
      <c r="D89" s="1315"/>
      <c r="E89" s="1315"/>
      <c r="F89" s="1315"/>
      <c r="G89" s="1315"/>
      <c r="H89" s="1315"/>
      <c r="I89" s="1315"/>
    </row>
    <row r="90" spans="1:9" ht="44.25" customHeight="1" x14ac:dyDescent="0.25">
      <c r="A90" s="973" t="s">
        <v>1051</v>
      </c>
      <c r="B90" s="1315" t="s">
        <v>1064</v>
      </c>
      <c r="C90" s="1315"/>
      <c r="D90" s="1315"/>
      <c r="E90" s="1315"/>
      <c r="F90" s="1315"/>
      <c r="G90" s="1315"/>
      <c r="H90" s="1315"/>
      <c r="I90" s="1315"/>
    </row>
    <row r="91" spans="1:9" ht="28.5" customHeight="1" x14ac:dyDescent="0.25">
      <c r="A91" s="973" t="s">
        <v>1053</v>
      </c>
      <c r="B91" s="1315" t="s">
        <v>1065</v>
      </c>
      <c r="C91" s="1315"/>
      <c r="D91" s="1315"/>
      <c r="E91" s="1315"/>
      <c r="F91" s="1315"/>
      <c r="G91" s="1315"/>
      <c r="H91" s="1315"/>
      <c r="I91" s="1315"/>
    </row>
    <row r="92" spans="1:9" s="1044" customFormat="1" ht="28.5" customHeight="1" x14ac:dyDescent="0.25">
      <c r="B92" s="1173"/>
      <c r="C92" s="1173"/>
      <c r="D92" s="1173"/>
      <c r="E92" s="1173"/>
      <c r="F92" s="1173"/>
      <c r="G92" s="1173"/>
      <c r="H92" s="1173"/>
      <c r="I92" s="1173"/>
    </row>
    <row r="94" spans="1:9" x14ac:dyDescent="0.25">
      <c r="A94" t="s">
        <v>1066</v>
      </c>
    </row>
    <row r="95" spans="1:9" x14ac:dyDescent="0.25">
      <c r="B95" t="s">
        <v>1067</v>
      </c>
    </row>
    <row r="97" spans="1:9" x14ac:dyDescent="0.25">
      <c r="A97" t="str">
        <f>A73</f>
        <v>Esta cuenta se integra como sigue al 31 de Diciembre 2024</v>
      </c>
    </row>
    <row r="99" spans="1:9" x14ac:dyDescent="0.25">
      <c r="A99" t="s">
        <v>1037</v>
      </c>
      <c r="F99" s="1332" t="s">
        <v>2282</v>
      </c>
      <c r="G99" s="1332"/>
    </row>
    <row r="100" spans="1:9" x14ac:dyDescent="0.25">
      <c r="A100" t="s">
        <v>1219</v>
      </c>
      <c r="G100" s="971">
        <f>'CPCA-I-03'!C16</f>
        <v>33638983.780000001</v>
      </c>
    </row>
    <row r="101" spans="1:9" x14ac:dyDescent="0.25">
      <c r="A101" t="s">
        <v>1220</v>
      </c>
      <c r="G101" s="971">
        <f>'CPCA-I-03'!C8</f>
        <v>2987115.89</v>
      </c>
    </row>
    <row r="102" spans="1:9" x14ac:dyDescent="0.25">
      <c r="A102" t="s">
        <v>1068</v>
      </c>
      <c r="G102" s="971">
        <v>0</v>
      </c>
    </row>
    <row r="103" spans="1:9" x14ac:dyDescent="0.25">
      <c r="A103" t="s">
        <v>209</v>
      </c>
      <c r="G103" s="971">
        <f>'CPCA-I-03'!C19</f>
        <v>0</v>
      </c>
    </row>
    <row r="104" spans="1:9" x14ac:dyDescent="0.25">
      <c r="A104" t="s">
        <v>1069</v>
      </c>
      <c r="G104" s="972">
        <f>SUM(G100:G103)</f>
        <v>36626099.670000002</v>
      </c>
    </row>
    <row r="107" spans="1:9" ht="77.25" customHeight="1" x14ac:dyDescent="0.25">
      <c r="A107" s="1333" t="s">
        <v>1070</v>
      </c>
      <c r="B107" s="1333"/>
      <c r="C107" s="1333"/>
      <c r="D107" s="1333"/>
      <c r="E107" s="1333"/>
      <c r="F107" s="1333"/>
      <c r="G107" s="1333"/>
      <c r="H107" s="1333"/>
      <c r="I107" s="1333"/>
    </row>
    <row r="109" spans="1:9" x14ac:dyDescent="0.25">
      <c r="B109" t="s">
        <v>1071</v>
      </c>
    </row>
    <row r="111" spans="1:9" x14ac:dyDescent="0.25">
      <c r="A111" t="s">
        <v>1037</v>
      </c>
      <c r="G111" t="str">
        <f>F99</f>
        <v>01/01/2024 al 31/12/2024</v>
      </c>
    </row>
    <row r="112" spans="1:9" x14ac:dyDescent="0.25">
      <c r="A112" t="s">
        <v>213</v>
      </c>
      <c r="G112" s="969">
        <f>'CPCA-I-03'!C29</f>
        <v>28503875.59</v>
      </c>
    </row>
    <row r="113" spans="1:9" x14ac:dyDescent="0.25">
      <c r="A113" t="s">
        <v>214</v>
      </c>
      <c r="G113" s="969">
        <f>'CPCA-I-03'!C30</f>
        <v>1845778.03</v>
      </c>
    </row>
    <row r="114" spans="1:9" x14ac:dyDescent="0.25">
      <c r="A114" t="s">
        <v>215</v>
      </c>
      <c r="G114" s="969">
        <f>'CPCA-I-03'!C31</f>
        <v>4184734.04</v>
      </c>
    </row>
    <row r="115" spans="1:9" s="1035" customFormat="1" x14ac:dyDescent="0.25">
      <c r="A115" s="1035" t="s">
        <v>502</v>
      </c>
      <c r="G115" s="969">
        <v>0</v>
      </c>
    </row>
    <row r="116" spans="1:9" s="1036" customFormat="1" x14ac:dyDescent="0.25">
      <c r="A116" s="1036" t="s">
        <v>235</v>
      </c>
      <c r="G116" s="969">
        <f>'CPCA-I-03'!C53</f>
        <v>0</v>
      </c>
    </row>
    <row r="117" spans="1:9" x14ac:dyDescent="0.25">
      <c r="B117" t="s">
        <v>242</v>
      </c>
      <c r="G117" s="976">
        <f>SUM(G112:G116)</f>
        <v>34534387.660000004</v>
      </c>
    </row>
    <row r="119" spans="1:9" ht="31.5" customHeight="1" x14ac:dyDescent="0.25">
      <c r="A119" s="1313" t="s">
        <v>1072</v>
      </c>
      <c r="B119" s="1313"/>
      <c r="C119" s="1313"/>
      <c r="D119" s="1313"/>
      <c r="E119" s="1313"/>
      <c r="F119" s="1313"/>
      <c r="G119" s="1313"/>
      <c r="H119" s="1313"/>
      <c r="I119" s="1313"/>
    </row>
    <row r="121" spans="1:9" x14ac:dyDescent="0.25">
      <c r="A121" t="s">
        <v>1073</v>
      </c>
    </row>
    <row r="123" spans="1:9" ht="46.5" customHeight="1" x14ac:dyDescent="0.25">
      <c r="A123" s="1313" t="s">
        <v>1074</v>
      </c>
      <c r="B123" s="1313"/>
      <c r="C123" s="1313"/>
      <c r="D123" s="1313"/>
      <c r="E123" s="1313"/>
      <c r="F123" s="1313"/>
      <c r="G123" s="1313"/>
      <c r="H123" s="1313"/>
      <c r="I123" s="1313"/>
    </row>
    <row r="124" spans="1:9" s="1044" customFormat="1" ht="15" customHeight="1" x14ac:dyDescent="0.25">
      <c r="A124" s="1043"/>
      <c r="B124" s="1043"/>
      <c r="C124" s="1043"/>
      <c r="D124" s="1043"/>
      <c r="E124" s="1043"/>
      <c r="F124" s="1043"/>
      <c r="G124" s="1043"/>
      <c r="H124" s="1043"/>
      <c r="I124" s="1043"/>
    </row>
    <row r="125" spans="1:9" s="1044" customFormat="1" ht="15" customHeight="1" x14ac:dyDescent="0.3">
      <c r="A125" s="1324" t="s">
        <v>65</v>
      </c>
      <c r="B125" s="1324"/>
      <c r="C125" s="1324"/>
      <c r="D125" s="1324"/>
      <c r="E125" s="1324"/>
      <c r="F125" s="1043"/>
      <c r="G125" s="1043"/>
      <c r="H125" s="1043"/>
      <c r="I125" s="1043"/>
    </row>
    <row r="126" spans="1:9" s="1044" customFormat="1" ht="15" customHeight="1" x14ac:dyDescent="0.3">
      <c r="A126" s="1301" t="s">
        <v>66</v>
      </c>
      <c r="B126" s="1301"/>
      <c r="C126" s="1301"/>
      <c r="D126" s="1301"/>
      <c r="E126" s="1301"/>
      <c r="F126" s="1059">
        <f>'CPCA-I-01'!F36</f>
        <v>195600</v>
      </c>
      <c r="G126" s="1059">
        <f>'CPCA-I-01'!G36</f>
        <v>195600</v>
      </c>
      <c r="H126" s="1043"/>
      <c r="I126" s="1043"/>
    </row>
    <row r="127" spans="1:9" s="1044" customFormat="1" ht="15" customHeight="1" x14ac:dyDescent="0.3">
      <c r="A127" s="1316" t="s">
        <v>67</v>
      </c>
      <c r="B127" s="1316"/>
      <c r="C127" s="1316"/>
      <c r="D127" s="1316"/>
      <c r="E127" s="1316"/>
      <c r="F127" s="1058"/>
      <c r="G127" s="1058"/>
      <c r="H127" s="1043"/>
      <c r="I127" s="1043"/>
    </row>
    <row r="128" spans="1:9" s="1044" customFormat="1" ht="15" customHeight="1" x14ac:dyDescent="0.3">
      <c r="A128" s="1316" t="s">
        <v>68</v>
      </c>
      <c r="B128" s="1316"/>
      <c r="C128" s="1316"/>
      <c r="D128" s="1316"/>
      <c r="E128" s="1316"/>
      <c r="F128" s="1058">
        <f>'CPCA-I-01'!F38</f>
        <v>195600</v>
      </c>
      <c r="G128" s="1058">
        <f>'CPCA-I-01'!G38</f>
        <v>195600</v>
      </c>
      <c r="H128" s="1043"/>
      <c r="I128" s="1043"/>
    </row>
    <row r="129" spans="1:9" s="1044" customFormat="1" ht="15" customHeight="1" x14ac:dyDescent="0.3">
      <c r="A129" s="1316" t="s">
        <v>69</v>
      </c>
      <c r="B129" s="1316"/>
      <c r="C129" s="1316"/>
      <c r="D129" s="1316"/>
      <c r="E129" s="1316"/>
      <c r="F129" s="1058"/>
      <c r="G129" s="1058"/>
      <c r="H129" s="1043"/>
      <c r="I129" s="1043"/>
    </row>
    <row r="130" spans="1:9" s="1044" customFormat="1" ht="15" customHeight="1" x14ac:dyDescent="0.3">
      <c r="A130" s="1301" t="s">
        <v>70</v>
      </c>
      <c r="B130" s="1301"/>
      <c r="C130" s="1301"/>
      <c r="D130" s="1301"/>
      <c r="E130" s="1301"/>
      <c r="F130" s="1059">
        <f>'CPCA-I-01'!F40</f>
        <v>-3103565.19</v>
      </c>
      <c r="G130" s="1059">
        <f>'CPCA-I-01'!G40</f>
        <v>-3738723.1900000004</v>
      </c>
      <c r="H130" s="1043"/>
      <c r="I130" s="1043"/>
    </row>
    <row r="131" spans="1:9" s="1044" customFormat="1" ht="15" customHeight="1" x14ac:dyDescent="0.3">
      <c r="A131" s="1316" t="s">
        <v>71</v>
      </c>
      <c r="B131" s="1316"/>
      <c r="C131" s="1316"/>
      <c r="D131" s="1316"/>
      <c r="E131" s="1316"/>
      <c r="F131" s="1058">
        <f>'CPCA-I-01'!F41</f>
        <v>2091712.01</v>
      </c>
      <c r="G131" s="1058">
        <f>'CPCA-I-01'!G41</f>
        <v>1816577.86</v>
      </c>
      <c r="H131" s="1043"/>
      <c r="I131" s="1043"/>
    </row>
    <row r="132" spans="1:9" s="1044" customFormat="1" ht="15" customHeight="1" x14ac:dyDescent="0.3">
      <c r="A132" s="1316" t="s">
        <v>72</v>
      </c>
      <c r="B132" s="1316"/>
      <c r="C132" s="1316"/>
      <c r="D132" s="1316"/>
      <c r="E132" s="1316"/>
      <c r="F132" s="1058">
        <f>'CPCA-I-01'!F42</f>
        <v>-1209296.5900000001</v>
      </c>
      <c r="G132" s="1058">
        <f>'CPCA-I-01'!G42</f>
        <v>-3025874.45</v>
      </c>
      <c r="H132" s="1043"/>
      <c r="I132" s="1043"/>
    </row>
    <row r="133" spans="1:9" s="1044" customFormat="1" ht="15" customHeight="1" x14ac:dyDescent="0.3">
      <c r="A133" s="1316" t="s">
        <v>73</v>
      </c>
      <c r="B133" s="1316"/>
      <c r="C133" s="1316"/>
      <c r="D133" s="1316"/>
      <c r="E133" s="1316"/>
      <c r="F133" s="1058"/>
      <c r="G133" s="1058"/>
      <c r="H133" s="1043"/>
      <c r="I133" s="1043"/>
    </row>
    <row r="134" spans="1:9" s="1044" customFormat="1" ht="15" customHeight="1" x14ac:dyDescent="0.3">
      <c r="A134" s="1316" t="s">
        <v>74</v>
      </c>
      <c r="B134" s="1316"/>
      <c r="C134" s="1316"/>
      <c r="D134" s="1316"/>
      <c r="E134" s="1316"/>
      <c r="F134" s="1058"/>
      <c r="G134" s="1058"/>
      <c r="H134" s="1043"/>
      <c r="I134" s="1043"/>
    </row>
    <row r="135" spans="1:9" s="1044" customFormat="1" ht="15" customHeight="1" x14ac:dyDescent="0.3">
      <c r="A135" s="1316" t="s">
        <v>75</v>
      </c>
      <c r="B135" s="1316"/>
      <c r="C135" s="1316"/>
      <c r="D135" s="1316"/>
      <c r="E135" s="1316"/>
      <c r="F135" s="1058">
        <f>'CPCA-I-01'!F45</f>
        <v>-3985980.61</v>
      </c>
      <c r="G135" s="1058">
        <f>'CPCA-I-01'!G45</f>
        <v>-2529426.6</v>
      </c>
      <c r="H135" s="1043"/>
      <c r="I135" s="1043"/>
    </row>
    <row r="136" spans="1:9" s="1044" customFormat="1" ht="15" customHeight="1" x14ac:dyDescent="0.3">
      <c r="A136" s="1301" t="s">
        <v>76</v>
      </c>
      <c r="B136" s="1301"/>
      <c r="C136" s="1301"/>
      <c r="D136" s="1301"/>
      <c r="E136" s="1301"/>
      <c r="F136" s="1060"/>
      <c r="G136" s="1060"/>
      <c r="H136" s="1043"/>
      <c r="I136" s="1043"/>
    </row>
    <row r="137" spans="1:9" s="1044" customFormat="1" ht="15" customHeight="1" x14ac:dyDescent="0.3">
      <c r="A137" s="1316" t="s">
        <v>77</v>
      </c>
      <c r="B137" s="1316"/>
      <c r="C137" s="1316"/>
      <c r="D137" s="1316"/>
      <c r="E137" s="1316"/>
      <c r="F137" s="1058"/>
      <c r="G137" s="1058"/>
      <c r="H137" s="1043"/>
      <c r="I137" s="1043"/>
    </row>
    <row r="138" spans="1:9" s="1044" customFormat="1" ht="15" customHeight="1" x14ac:dyDescent="0.3">
      <c r="A138" s="1316" t="s">
        <v>78</v>
      </c>
      <c r="B138" s="1316"/>
      <c r="C138" s="1316"/>
      <c r="D138" s="1316"/>
      <c r="E138" s="1316"/>
      <c r="F138" s="1058"/>
      <c r="G138" s="1058"/>
      <c r="H138" s="1043"/>
      <c r="I138" s="1043"/>
    </row>
    <row r="139" spans="1:9" s="1044" customFormat="1" ht="15" customHeight="1" x14ac:dyDescent="0.3">
      <c r="A139" s="1056"/>
      <c r="B139" s="1057"/>
      <c r="C139" s="1057"/>
      <c r="D139" s="1057"/>
      <c r="E139" s="1057"/>
      <c r="F139" s="1058"/>
      <c r="G139" s="1058"/>
      <c r="H139" s="1043"/>
      <c r="I139" s="1043"/>
    </row>
    <row r="140" spans="1:9" s="1044" customFormat="1" ht="15" customHeight="1" x14ac:dyDescent="0.3">
      <c r="A140" s="1301" t="s">
        <v>79</v>
      </c>
      <c r="B140" s="1301"/>
      <c r="C140" s="1301"/>
      <c r="D140" s="1301"/>
      <c r="E140" s="1301"/>
      <c r="F140" s="1059">
        <f>'CPCA-I-01'!F50</f>
        <v>-2907965.19</v>
      </c>
      <c r="G140" s="1059">
        <f>'CPCA-I-01'!G50</f>
        <v>-3543123.1900000004</v>
      </c>
      <c r="H140" s="1043"/>
      <c r="I140" s="1043"/>
    </row>
    <row r="141" spans="1:9" s="1044" customFormat="1" ht="15" customHeight="1" x14ac:dyDescent="0.25">
      <c r="A141" s="1043"/>
      <c r="B141" s="1043"/>
      <c r="C141" s="1043"/>
      <c r="D141" s="1043"/>
      <c r="E141" s="1043"/>
      <c r="F141" s="1043"/>
      <c r="G141" s="1043"/>
      <c r="H141" s="1043"/>
      <c r="I141" s="1043"/>
    </row>
    <row r="142" spans="1:9" x14ac:dyDescent="0.25">
      <c r="A142" t="s">
        <v>1075</v>
      </c>
    </row>
    <row r="144" spans="1:9" ht="29.25" customHeight="1" x14ac:dyDescent="0.25">
      <c r="A144" t="s">
        <v>1076</v>
      </c>
      <c r="B144" s="1315" t="s">
        <v>2222</v>
      </c>
      <c r="C144" s="1315"/>
      <c r="D144" s="1315"/>
      <c r="E144" s="1315"/>
      <c r="F144" s="1315"/>
      <c r="G144" s="1315"/>
      <c r="H144" s="1315"/>
      <c r="I144" s="1315"/>
    </row>
    <row r="145" spans="1:10" x14ac:dyDescent="0.25">
      <c r="A145" t="s">
        <v>1077</v>
      </c>
      <c r="B145" t="s">
        <v>1078</v>
      </c>
    </row>
    <row r="146" spans="1:10" x14ac:dyDescent="0.25">
      <c r="A146" t="s">
        <v>1079</v>
      </c>
      <c r="B146" t="s">
        <v>1080</v>
      </c>
    </row>
    <row r="147" spans="1:10" x14ac:dyDescent="0.25">
      <c r="A147" t="s">
        <v>1081</v>
      </c>
      <c r="B147" t="s">
        <v>1082</v>
      </c>
    </row>
    <row r="148" spans="1:10" x14ac:dyDescent="0.25">
      <c r="A148" t="s">
        <v>1083</v>
      </c>
      <c r="B148" t="s">
        <v>1084</v>
      </c>
    </row>
    <row r="151" spans="1:10" x14ac:dyDescent="0.25">
      <c r="A151" t="s">
        <v>1085</v>
      </c>
    </row>
    <row r="153" spans="1:10" ht="32.25" customHeight="1" x14ac:dyDescent="0.25">
      <c r="A153" s="1334" t="s">
        <v>1086</v>
      </c>
      <c r="B153" s="1334"/>
      <c r="C153" s="1334"/>
      <c r="D153" s="1334"/>
      <c r="E153" s="1334"/>
      <c r="F153" s="1334"/>
      <c r="G153" s="1334"/>
      <c r="H153" s="1334"/>
      <c r="I153" s="1334"/>
    </row>
    <row r="154" spans="1:10" ht="14.25" customHeight="1" x14ac:dyDescent="0.25">
      <c r="A154" s="977"/>
      <c r="B154" s="977"/>
      <c r="C154" s="977"/>
      <c r="D154" s="977"/>
      <c r="E154" s="977"/>
      <c r="F154" s="977"/>
      <c r="G154" s="977"/>
      <c r="H154" s="977"/>
      <c r="I154" s="977"/>
    </row>
    <row r="155" spans="1:10" x14ac:dyDescent="0.25">
      <c r="A155" s="1328" t="s">
        <v>247</v>
      </c>
      <c r="B155" s="1329"/>
      <c r="C155" s="1329"/>
      <c r="D155" s="1330"/>
      <c r="E155" s="1064">
        <v>2024</v>
      </c>
      <c r="F155" s="1070">
        <v>2023</v>
      </c>
      <c r="G155" s="1066"/>
      <c r="I155" s="1066"/>
      <c r="J155" s="1066"/>
    </row>
    <row r="156" spans="1:10" s="1044" customFormat="1" x14ac:dyDescent="0.25">
      <c r="A156" s="1071" t="s">
        <v>1374</v>
      </c>
      <c r="B156" s="1072"/>
      <c r="C156" s="1072"/>
      <c r="D156" s="1073"/>
      <c r="E156" s="1074">
        <f>'CPCA-I-02'!B10</f>
        <v>1504.99</v>
      </c>
      <c r="F156" s="1075">
        <v>1500</v>
      </c>
      <c r="G156" s="1066"/>
      <c r="I156" s="1066"/>
      <c r="J156" s="1066"/>
    </row>
    <row r="157" spans="1:10" x14ac:dyDescent="0.25">
      <c r="A157" s="1290" t="s">
        <v>1368</v>
      </c>
      <c r="B157" s="1291"/>
      <c r="C157" s="1291"/>
      <c r="D157" s="1292"/>
      <c r="E157" s="1076">
        <f>'CPCA-I-02'!B11</f>
        <v>3329472.38</v>
      </c>
      <c r="F157" s="1077">
        <v>605207.4</v>
      </c>
      <c r="G157" s="1067"/>
      <c r="I157" s="1067"/>
      <c r="J157" s="1067"/>
    </row>
    <row r="158" spans="1:10" x14ac:dyDescent="0.25">
      <c r="A158" s="1290" t="s">
        <v>1369</v>
      </c>
      <c r="B158" s="1291"/>
      <c r="C158" s="1291"/>
      <c r="D158" s="1292"/>
      <c r="E158" s="1078">
        <v>0</v>
      </c>
      <c r="F158" s="1077">
        <v>0</v>
      </c>
      <c r="G158" s="1067"/>
      <c r="I158" s="1067"/>
      <c r="J158" s="1067"/>
    </row>
    <row r="159" spans="1:10" x14ac:dyDescent="0.25">
      <c r="A159" s="1290" t="s">
        <v>1370</v>
      </c>
      <c r="B159" s="1291"/>
      <c r="C159" s="1291"/>
      <c r="D159" s="1292"/>
      <c r="E159" s="1078">
        <v>0</v>
      </c>
      <c r="F159" s="1077">
        <v>0</v>
      </c>
      <c r="G159" s="1067"/>
      <c r="I159" s="1067"/>
      <c r="J159" s="1067"/>
    </row>
    <row r="160" spans="1:10" x14ac:dyDescent="0.25">
      <c r="A160" s="1290" t="s">
        <v>1371</v>
      </c>
      <c r="B160" s="1291"/>
      <c r="C160" s="1291"/>
      <c r="D160" s="1292"/>
      <c r="E160" s="1078">
        <v>0</v>
      </c>
      <c r="F160" s="1077">
        <v>0</v>
      </c>
      <c r="G160" s="1067"/>
      <c r="I160" s="1067"/>
      <c r="J160" s="1067"/>
    </row>
    <row r="161" spans="1:14" ht="33" customHeight="1" x14ac:dyDescent="0.25">
      <c r="A161" s="1293" t="s">
        <v>1372</v>
      </c>
      <c r="B161" s="1294"/>
      <c r="C161" s="1294"/>
      <c r="D161" s="1295"/>
      <c r="E161" s="1076">
        <f>'CPCA-I-02'!B15</f>
        <v>11544.4</v>
      </c>
      <c r="F161" s="1077">
        <v>6544.4</v>
      </c>
      <c r="G161" s="1067"/>
      <c r="I161" s="1067"/>
      <c r="J161" s="1067"/>
    </row>
    <row r="162" spans="1:14" x14ac:dyDescent="0.25">
      <c r="A162" s="1307" t="s">
        <v>1373</v>
      </c>
      <c r="B162" s="1308"/>
      <c r="C162" s="1308"/>
      <c r="D162" s="1309"/>
      <c r="E162" s="1065">
        <f>SUM(E156:E161)</f>
        <v>3342521.77</v>
      </c>
      <c r="F162" s="1069">
        <f>SUM(F156:F161)</f>
        <v>613251.80000000005</v>
      </c>
      <c r="G162" s="1068"/>
      <c r="I162" s="1068"/>
      <c r="J162" s="1068"/>
    </row>
    <row r="163" spans="1:14" x14ac:dyDescent="0.25">
      <c r="B163" s="979"/>
      <c r="C163" s="979"/>
      <c r="D163" s="1063"/>
      <c r="E163" s="1063"/>
      <c r="F163" s="1040"/>
      <c r="G163" s="1040"/>
      <c r="H163" s="980"/>
    </row>
    <row r="164" spans="1:14" s="641" customFormat="1" ht="36" customHeight="1" x14ac:dyDescent="0.25">
      <c r="A164" s="1310" t="s">
        <v>1375</v>
      </c>
      <c r="B164" s="1310"/>
      <c r="C164" s="1310"/>
      <c r="D164" s="1310"/>
      <c r="E164" s="1310"/>
      <c r="F164" s="1310"/>
      <c r="G164" s="1310"/>
      <c r="H164" s="1079"/>
      <c r="I164" s="1079"/>
      <c r="J164" s="1079"/>
      <c r="K164" s="1079"/>
      <c r="L164" s="1079"/>
      <c r="M164" s="1079"/>
      <c r="N164" s="1079"/>
    </row>
    <row r="165" spans="1:14" x14ac:dyDescent="0.25">
      <c r="A165" s="978"/>
      <c r="B165" s="978"/>
      <c r="D165" s="1061"/>
      <c r="E165" s="1061"/>
      <c r="F165" s="1062"/>
      <c r="G165" s="1062"/>
      <c r="H165" s="980"/>
    </row>
    <row r="166" spans="1:14" x14ac:dyDescent="0.25">
      <c r="A166" s="1304"/>
      <c r="B166" s="1305"/>
      <c r="C166" s="1305"/>
      <c r="D166" s="1306"/>
      <c r="E166" s="1070">
        <v>2024</v>
      </c>
      <c r="F166" s="1070">
        <v>2023</v>
      </c>
      <c r="G166" s="1066"/>
      <c r="H166" s="1066"/>
      <c r="I166" s="1066"/>
      <c r="J166" s="1066"/>
    </row>
    <row r="167" spans="1:14" ht="24" customHeight="1" x14ac:dyDescent="0.25">
      <c r="A167" s="1303" t="s">
        <v>1376</v>
      </c>
      <c r="B167" s="1303"/>
      <c r="C167" s="1303"/>
      <c r="D167" s="1303"/>
      <c r="E167" s="1085">
        <f>'CPCA-I-03'!C64</f>
        <v>2091712.0099999979</v>
      </c>
      <c r="F167" s="1085">
        <f>'CPCA-I-03'!D64</f>
        <v>1816577.8599999994</v>
      </c>
      <c r="G167" s="1080"/>
      <c r="H167" s="1080"/>
      <c r="I167" s="1080"/>
      <c r="J167" s="1080"/>
    </row>
    <row r="168" spans="1:14" ht="27" customHeight="1" x14ac:dyDescent="0.25">
      <c r="A168" s="1303" t="s">
        <v>1377</v>
      </c>
      <c r="B168" s="1303"/>
      <c r="C168" s="1303"/>
      <c r="D168" s="1303"/>
      <c r="E168" s="1084"/>
      <c r="F168" s="1084"/>
      <c r="G168" s="1081"/>
      <c r="H168" s="1081"/>
      <c r="I168" s="1081"/>
      <c r="J168" s="1081"/>
    </row>
    <row r="169" spans="1:14" x14ac:dyDescent="0.25">
      <c r="A169" s="1302" t="s">
        <v>1378</v>
      </c>
      <c r="B169" s="1302"/>
      <c r="C169" s="1302"/>
      <c r="D169" s="1302"/>
      <c r="E169" s="1083">
        <v>0</v>
      </c>
      <c r="F169" s="1083">
        <v>0</v>
      </c>
      <c r="G169" s="1082"/>
      <c r="H169" s="1082"/>
      <c r="I169" s="1082"/>
      <c r="J169" s="1082"/>
    </row>
    <row r="170" spans="1:14" x14ac:dyDescent="0.25">
      <c r="A170" s="1302" t="s">
        <v>752</v>
      </c>
      <c r="B170" s="1302"/>
      <c r="C170" s="1302"/>
      <c r="D170" s="1302"/>
      <c r="E170" s="1083">
        <v>0</v>
      </c>
      <c r="F170" s="1083">
        <v>0</v>
      </c>
      <c r="G170" s="1082"/>
      <c r="H170" s="1082"/>
      <c r="I170" s="1082"/>
      <c r="J170" s="1082"/>
    </row>
    <row r="171" spans="1:14" x14ac:dyDescent="0.25">
      <c r="A171" s="1302" t="s">
        <v>1379</v>
      </c>
      <c r="B171" s="1302"/>
      <c r="C171" s="1302"/>
      <c r="D171" s="1302"/>
      <c r="E171" s="1086">
        <f>'CPCA-I-05'!B28</f>
        <v>7007627.25</v>
      </c>
      <c r="F171" s="1086">
        <v>0</v>
      </c>
      <c r="G171" s="1082"/>
      <c r="H171" s="1082"/>
      <c r="I171" s="1082"/>
      <c r="J171" s="1082"/>
    </row>
    <row r="172" spans="1:14" x14ac:dyDescent="0.25">
      <c r="A172" s="1302" t="s">
        <v>1380</v>
      </c>
      <c r="B172" s="1302"/>
      <c r="C172" s="1302"/>
      <c r="D172" s="1302"/>
      <c r="E172" s="1086">
        <f>'CPCA-I-05'!C7</f>
        <v>7642785.25</v>
      </c>
      <c r="F172" s="1086">
        <v>1631270.13</v>
      </c>
      <c r="G172" s="1082"/>
      <c r="H172" s="1082"/>
      <c r="I172" s="1082"/>
      <c r="J172" s="1082"/>
    </row>
    <row r="173" spans="1:14" x14ac:dyDescent="0.25">
      <c r="B173" s="979"/>
      <c r="C173" s="979"/>
      <c r="D173" s="1063"/>
      <c r="E173" s="1063"/>
      <c r="F173" s="1040"/>
      <c r="G173" s="1040"/>
      <c r="H173" s="980"/>
    </row>
    <row r="174" spans="1:14" s="1044" customFormat="1" x14ac:dyDescent="0.25">
      <c r="A174" s="620"/>
      <c r="B174" s="978"/>
      <c r="C174" s="978"/>
      <c r="E174" s="1063"/>
      <c r="F174" s="1040"/>
      <c r="G174" s="1040"/>
      <c r="H174" s="980"/>
    </row>
    <row r="175" spans="1:14" s="1044" customFormat="1" x14ac:dyDescent="0.25">
      <c r="B175" s="979"/>
      <c r="C175" s="979"/>
      <c r="D175" s="1063"/>
      <c r="E175" s="1063"/>
      <c r="F175" s="1040"/>
      <c r="G175" s="1040"/>
      <c r="H175" s="980"/>
    </row>
    <row r="176" spans="1:14" s="1001" customFormat="1" ht="26.25" customHeight="1" x14ac:dyDescent="0.25">
      <c r="A176" s="1335" t="s">
        <v>1245</v>
      </c>
      <c r="B176" s="1335"/>
      <c r="C176" s="1335"/>
      <c r="D176" s="1335"/>
      <c r="E176" s="1335"/>
      <c r="F176" s="1335"/>
      <c r="G176" s="1335"/>
      <c r="H176" s="1335"/>
      <c r="I176" s="1021"/>
      <c r="J176" s="1021"/>
      <c r="K176" s="1021"/>
      <c r="L176" s="1021"/>
      <c r="M176" s="1021"/>
      <c r="N176" s="1021"/>
    </row>
    <row r="177" spans="1:6" s="1001" customFormat="1" x14ac:dyDescent="0.25"/>
    <row r="178" spans="1:6" s="1001" customFormat="1" x14ac:dyDescent="0.25">
      <c r="A178" s="1336" t="s">
        <v>1246</v>
      </c>
      <c r="B178" s="1336"/>
      <c r="C178" s="1336"/>
      <c r="D178" s="1336"/>
      <c r="E178" s="1336"/>
      <c r="F178" s="1336"/>
    </row>
    <row r="179" spans="1:6" s="1001" customFormat="1" x14ac:dyDescent="0.25">
      <c r="A179" s="1022"/>
      <c r="B179" s="1022"/>
      <c r="C179" s="1022"/>
      <c r="D179" s="1022"/>
      <c r="E179" s="1022"/>
      <c r="F179" s="1022"/>
    </row>
    <row r="180" spans="1:6" s="1001" customFormat="1" x14ac:dyDescent="0.25">
      <c r="A180" s="1327" t="s">
        <v>1247</v>
      </c>
      <c r="B180" s="1327"/>
      <c r="C180" s="1327"/>
      <c r="D180" s="1327"/>
      <c r="E180" s="1327"/>
      <c r="F180" s="1023">
        <f>'CPCA-II-03'!D6</f>
        <v>36626099.670000002</v>
      </c>
    </row>
    <row r="181" spans="1:6" s="1001" customFormat="1" x14ac:dyDescent="0.25">
      <c r="A181" s="1325" t="s">
        <v>1248</v>
      </c>
      <c r="B181" s="1325"/>
      <c r="C181" s="1325"/>
      <c r="D181" s="1325"/>
      <c r="E181" s="1325"/>
      <c r="F181" s="1024">
        <f>F182</f>
        <v>0</v>
      </c>
    </row>
    <row r="182" spans="1:6" s="1001" customFormat="1" x14ac:dyDescent="0.25">
      <c r="A182" s="1326" t="s">
        <v>1249</v>
      </c>
      <c r="B182" s="1326"/>
      <c r="C182" s="1326"/>
      <c r="D182" s="1326"/>
      <c r="E182" s="1326"/>
      <c r="F182" s="1025">
        <v>0</v>
      </c>
    </row>
    <row r="183" spans="1:6" s="1001" customFormat="1" x14ac:dyDescent="0.25">
      <c r="A183" s="1325" t="s">
        <v>1250</v>
      </c>
      <c r="B183" s="1325"/>
      <c r="C183" s="1325"/>
      <c r="D183" s="1325"/>
      <c r="E183" s="1325"/>
      <c r="F183" s="1024">
        <v>0</v>
      </c>
    </row>
    <row r="184" spans="1:6" s="1001" customFormat="1" x14ac:dyDescent="0.25">
      <c r="A184" s="1327" t="s">
        <v>1251</v>
      </c>
      <c r="B184" s="1327"/>
      <c r="C184" s="1327"/>
      <c r="D184" s="1327"/>
      <c r="E184" s="1327"/>
      <c r="F184" s="1023">
        <f>F180+F181-F183</f>
        <v>36626099.670000002</v>
      </c>
    </row>
    <row r="185" spans="1:6" s="1001" customFormat="1" x14ac:dyDescent="0.25"/>
    <row r="186" spans="1:6" s="1001" customFormat="1" x14ac:dyDescent="0.25"/>
    <row r="187" spans="1:6" s="1001" customFormat="1" x14ac:dyDescent="0.25">
      <c r="A187" s="1026"/>
      <c r="B187" s="1026"/>
    </row>
    <row r="188" spans="1:6" s="1001" customFormat="1" x14ac:dyDescent="0.25">
      <c r="A188" s="1340" t="s">
        <v>884</v>
      </c>
      <c r="B188" s="1340"/>
      <c r="C188" s="1340"/>
      <c r="D188" s="1340"/>
      <c r="E188" s="1340"/>
      <c r="F188" s="1340"/>
    </row>
    <row r="189" spans="1:6" s="1001" customFormat="1" x14ac:dyDescent="0.25">
      <c r="A189" s="1026"/>
      <c r="B189" s="1026"/>
      <c r="C189" s="1026"/>
      <c r="D189" s="1026"/>
      <c r="E189" s="1026"/>
      <c r="F189" s="1026"/>
    </row>
    <row r="190" spans="1:6" s="1001" customFormat="1" x14ac:dyDescent="0.25">
      <c r="A190" s="1337" t="s">
        <v>1252</v>
      </c>
      <c r="B190" s="1338"/>
      <c r="C190" s="1338"/>
      <c r="D190" s="1338"/>
      <c r="E190" s="1339"/>
      <c r="F190" s="1027">
        <f>'CPCA-II-15'!C6</f>
        <v>34881677.560000002</v>
      </c>
    </row>
    <row r="191" spans="1:6" s="1001" customFormat="1" x14ac:dyDescent="0.25">
      <c r="A191" s="1317" t="s">
        <v>1253</v>
      </c>
      <c r="B191" s="1318"/>
      <c r="C191" s="1318"/>
      <c r="D191" s="1318"/>
      <c r="E191" s="1319"/>
      <c r="F191" s="1028">
        <f>F192+F193+F194</f>
        <v>347289.9</v>
      </c>
    </row>
    <row r="192" spans="1:6" s="1034" customFormat="1" x14ac:dyDescent="0.25">
      <c r="A192" s="1320" t="s">
        <v>1258</v>
      </c>
      <c r="B192" s="1321"/>
      <c r="C192" s="1321"/>
      <c r="D192" s="1321"/>
      <c r="E192" s="1322"/>
      <c r="F192" s="1161">
        <f>'CPCA-II-15'!B12</f>
        <v>255845.4</v>
      </c>
    </row>
    <row r="193" spans="1:9" s="1044" customFormat="1" x14ac:dyDescent="0.25">
      <c r="A193" s="1320" t="s">
        <v>2202</v>
      </c>
      <c r="B193" s="1321"/>
      <c r="C193" s="1321"/>
      <c r="D193" s="1321"/>
      <c r="E193" s="1322"/>
      <c r="F193" s="1161">
        <f>'CPCA-II-15'!B13</f>
        <v>0</v>
      </c>
    </row>
    <row r="194" spans="1:9" s="1001" customFormat="1" x14ac:dyDescent="0.25">
      <c r="A194" s="1320" t="s">
        <v>1254</v>
      </c>
      <c r="B194" s="1321"/>
      <c r="C194" s="1321"/>
      <c r="D194" s="1321"/>
      <c r="E194" s="1322"/>
      <c r="F194" s="1161">
        <f>'CPCA-II-15'!B17</f>
        <v>91444.5</v>
      </c>
    </row>
    <row r="195" spans="1:9" s="1001" customFormat="1" x14ac:dyDescent="0.25">
      <c r="A195" s="1317" t="s">
        <v>1255</v>
      </c>
      <c r="B195" s="1318"/>
      <c r="C195" s="1318"/>
      <c r="D195" s="1318"/>
      <c r="E195" s="1319"/>
      <c r="F195" s="1162">
        <f>SUM(F196)</f>
        <v>0</v>
      </c>
    </row>
    <row r="196" spans="1:9" s="1044" customFormat="1" x14ac:dyDescent="0.25">
      <c r="A196" s="1320" t="s">
        <v>2203</v>
      </c>
      <c r="B196" s="1321"/>
      <c r="C196" s="1321"/>
      <c r="D196" s="1321"/>
      <c r="E196" s="1322"/>
      <c r="F196" s="1105">
        <f>'CPCA-II-15'!B34</f>
        <v>0</v>
      </c>
    </row>
    <row r="197" spans="1:9" s="1001" customFormat="1" x14ac:dyDescent="0.25">
      <c r="A197" s="1337" t="s">
        <v>1256</v>
      </c>
      <c r="B197" s="1338"/>
      <c r="C197" s="1338"/>
      <c r="D197" s="1338"/>
      <c r="E197" s="1339"/>
      <c r="F197" s="1027">
        <f>F190-F191+F195</f>
        <v>34534387.660000004</v>
      </c>
    </row>
    <row r="198" spans="1:9" s="1001" customFormat="1" x14ac:dyDescent="0.25"/>
    <row r="199" spans="1:9" x14ac:dyDescent="0.25">
      <c r="A199" s="620" t="s">
        <v>1087</v>
      </c>
    </row>
    <row r="201" spans="1:9" x14ac:dyDescent="0.25">
      <c r="A201" t="s">
        <v>1088</v>
      </c>
    </row>
    <row r="202" spans="1:9" x14ac:dyDescent="0.25">
      <c r="A202" s="620" t="s">
        <v>1089</v>
      </c>
      <c r="G202" s="981">
        <v>4536868.45</v>
      </c>
    </row>
    <row r="203" spans="1:9" ht="33" customHeight="1" x14ac:dyDescent="0.25">
      <c r="A203" s="1313" t="s">
        <v>2208</v>
      </c>
      <c r="B203" s="1313"/>
      <c r="C203" s="1313"/>
      <c r="D203" s="1313"/>
      <c r="E203" s="1313"/>
      <c r="F203" s="1313"/>
      <c r="G203" s="1313"/>
      <c r="H203" s="1313"/>
      <c r="I203" s="1313"/>
    </row>
    <row r="205" spans="1:9" x14ac:dyDescent="0.25">
      <c r="A205" t="s">
        <v>1090</v>
      </c>
    </row>
    <row r="207" spans="1:9" x14ac:dyDescent="0.25">
      <c r="A207" t="s">
        <v>1091</v>
      </c>
      <c r="G207" s="971">
        <v>32253060.079999998</v>
      </c>
    </row>
    <row r="208" spans="1:9" x14ac:dyDescent="0.25">
      <c r="A208" t="s">
        <v>1092</v>
      </c>
      <c r="G208" s="1104">
        <v>346897.5</v>
      </c>
    </row>
    <row r="209" spans="1:7" x14ac:dyDescent="0.25">
      <c r="A209" t="s">
        <v>1093</v>
      </c>
      <c r="G209" s="1104">
        <v>4719937.09</v>
      </c>
    </row>
    <row r="210" spans="1:7" x14ac:dyDescent="0.25">
      <c r="A210" t="s">
        <v>1094</v>
      </c>
      <c r="G210" s="1104">
        <v>36626099.670000002</v>
      </c>
    </row>
    <row r="211" spans="1:7" x14ac:dyDescent="0.25">
      <c r="A211" t="s">
        <v>1095</v>
      </c>
      <c r="G211" s="971">
        <f>G210</f>
        <v>36626099.670000002</v>
      </c>
    </row>
    <row r="214" spans="1:7" x14ac:dyDescent="0.25">
      <c r="A214" t="s">
        <v>1096</v>
      </c>
    </row>
    <row r="216" spans="1:7" x14ac:dyDescent="0.25">
      <c r="A216" t="s">
        <v>1097</v>
      </c>
      <c r="G216" s="1104">
        <v>32253060.079999998</v>
      </c>
    </row>
    <row r="217" spans="1:7" x14ac:dyDescent="0.25">
      <c r="A217" t="s">
        <v>1098</v>
      </c>
      <c r="G217" s="1104">
        <v>1982437.67</v>
      </c>
    </row>
    <row r="218" spans="1:7" x14ac:dyDescent="0.25">
      <c r="A218" t="s">
        <v>1099</v>
      </c>
      <c r="G218" s="1104">
        <v>4611055.1500000004</v>
      </c>
    </row>
    <row r="219" spans="1:7" x14ac:dyDescent="0.25">
      <c r="A219" t="s">
        <v>1100</v>
      </c>
      <c r="G219" s="1104">
        <v>34881667.560000002</v>
      </c>
    </row>
    <row r="220" spans="1:7" x14ac:dyDescent="0.25">
      <c r="A220" t="s">
        <v>1101</v>
      </c>
      <c r="G220" s="1104">
        <v>34881667.560000002</v>
      </c>
    </row>
    <row r="221" spans="1:7" x14ac:dyDescent="0.25">
      <c r="A221" t="s">
        <v>1102</v>
      </c>
      <c r="G221" s="1104">
        <v>34881667.560000002</v>
      </c>
    </row>
    <row r="222" spans="1:7" x14ac:dyDescent="0.25">
      <c r="A222" t="s">
        <v>1103</v>
      </c>
      <c r="G222" s="1104">
        <v>33580086.640000001</v>
      </c>
    </row>
    <row r="223" spans="1:7" x14ac:dyDescent="0.25">
      <c r="G223" s="969"/>
    </row>
    <row r="225" spans="1:9" x14ac:dyDescent="0.25">
      <c r="A225" s="620" t="s">
        <v>1104</v>
      </c>
    </row>
    <row r="227" spans="1:9" x14ac:dyDescent="0.25">
      <c r="A227">
        <v>1</v>
      </c>
      <c r="B227" t="s">
        <v>1105</v>
      </c>
    </row>
    <row r="229" spans="1:9" ht="78.75" customHeight="1" x14ac:dyDescent="0.25">
      <c r="A229" s="1333" t="s">
        <v>1106</v>
      </c>
      <c r="B229" s="1333"/>
      <c r="C229" s="1333"/>
      <c r="D229" s="1333"/>
      <c r="E229" s="1333"/>
      <c r="F229" s="1333"/>
      <c r="G229" s="1333"/>
      <c r="H229" s="1333"/>
      <c r="I229" s="1333"/>
    </row>
    <row r="231" spans="1:9" x14ac:dyDescent="0.25">
      <c r="A231" t="s">
        <v>1107</v>
      </c>
    </row>
    <row r="232" spans="1:9" ht="82.5" customHeight="1" x14ac:dyDescent="0.25">
      <c r="A232" s="1331" t="s">
        <v>2270</v>
      </c>
      <c r="B232" s="1331"/>
      <c r="C232" s="1331"/>
      <c r="D232" s="1331"/>
      <c r="E232" s="1331"/>
      <c r="F232" s="1331"/>
      <c r="G232" s="1331"/>
      <c r="H232" s="1331"/>
      <c r="I232" s="1331"/>
    </row>
    <row r="234" spans="1:9" x14ac:dyDescent="0.25">
      <c r="B234" t="s">
        <v>1108</v>
      </c>
    </row>
    <row r="236" spans="1:9" ht="44.25" customHeight="1" x14ac:dyDescent="0.25">
      <c r="A236" s="1333" t="s">
        <v>1109</v>
      </c>
      <c r="B236" s="1333"/>
      <c r="C236" s="1333"/>
      <c r="D236" s="1333"/>
      <c r="E236" s="1333"/>
      <c r="F236" s="1333"/>
      <c r="G236" s="1333"/>
      <c r="H236" s="1333"/>
      <c r="I236" s="1333"/>
    </row>
    <row r="238" spans="1:9" ht="33.75" customHeight="1" x14ac:dyDescent="0.25">
      <c r="A238" s="1333" t="s">
        <v>1110</v>
      </c>
      <c r="B238" s="1333"/>
      <c r="C238" s="1333"/>
      <c r="D238" s="1333"/>
      <c r="E238" s="1333"/>
      <c r="F238" s="1333"/>
      <c r="G238" s="1333"/>
      <c r="H238" s="1333"/>
      <c r="I238" s="1333"/>
    </row>
    <row r="240" spans="1:9" x14ac:dyDescent="0.25">
      <c r="A240" t="s">
        <v>1111</v>
      </c>
    </row>
    <row r="241" spans="1:9" x14ac:dyDescent="0.25">
      <c r="A241" t="s">
        <v>1076</v>
      </c>
      <c r="B241" t="s">
        <v>1112</v>
      </c>
    </row>
    <row r="242" spans="1:9" x14ac:dyDescent="0.25">
      <c r="A242" t="s">
        <v>1077</v>
      </c>
      <c r="B242" t="s">
        <v>1113</v>
      </c>
    </row>
    <row r="243" spans="1:9" x14ac:dyDescent="0.25">
      <c r="A243" t="s">
        <v>1079</v>
      </c>
      <c r="B243" t="s">
        <v>1114</v>
      </c>
    </row>
    <row r="246" spans="1:9" x14ac:dyDescent="0.25">
      <c r="A246" t="s">
        <v>1115</v>
      </c>
    </row>
    <row r="248" spans="1:9" x14ac:dyDescent="0.25">
      <c r="A248" t="s">
        <v>1076</v>
      </c>
      <c r="B248" t="s">
        <v>1116</v>
      </c>
    </row>
    <row r="249" spans="1:9" ht="28.5" customHeight="1" x14ac:dyDescent="0.25">
      <c r="A249" t="s">
        <v>1077</v>
      </c>
      <c r="B249" s="1315" t="s">
        <v>1117</v>
      </c>
      <c r="C249" s="1315"/>
      <c r="D249" s="1315"/>
      <c r="E249" s="1315"/>
      <c r="F249" s="1315"/>
      <c r="G249" s="1315"/>
      <c r="H249" s="1315"/>
      <c r="I249" s="1315"/>
    </row>
    <row r="250" spans="1:9" ht="31.5" customHeight="1" x14ac:dyDescent="0.25">
      <c r="A250" t="s">
        <v>1079</v>
      </c>
      <c r="B250" s="1315" t="s">
        <v>1118</v>
      </c>
      <c r="C250" s="1315"/>
      <c r="D250" s="1315"/>
      <c r="E250" s="1315"/>
      <c r="F250" s="1315"/>
      <c r="G250" s="1315"/>
      <c r="H250" s="1315"/>
      <c r="I250" s="1315"/>
    </row>
    <row r="253" spans="1:9" x14ac:dyDescent="0.25">
      <c r="A253" t="s">
        <v>1119</v>
      </c>
    </row>
    <row r="255" spans="1:9" ht="45.75" customHeight="1" x14ac:dyDescent="0.25">
      <c r="A255" s="1333" t="s">
        <v>1120</v>
      </c>
      <c r="B255" s="1333"/>
      <c r="C255" s="1333"/>
      <c r="D255" s="1333"/>
      <c r="E255" s="1333"/>
      <c r="F255" s="1333"/>
      <c r="G255" s="1333"/>
      <c r="H255" s="1333"/>
      <c r="I255" s="1333"/>
    </row>
    <row r="257" spans="1:9" x14ac:dyDescent="0.25">
      <c r="A257" t="s">
        <v>1121</v>
      </c>
    </row>
    <row r="259" spans="1:9" ht="47.25" customHeight="1" x14ac:dyDescent="0.25">
      <c r="A259" s="973" t="s">
        <v>1076</v>
      </c>
      <c r="B259" s="1341" t="s">
        <v>1122</v>
      </c>
      <c r="C259" s="1341"/>
      <c r="D259" s="1341"/>
      <c r="E259" s="1341"/>
      <c r="F259" s="1341"/>
      <c r="G259" s="1341"/>
      <c r="H259" s="1341"/>
      <c r="I259" s="1341"/>
    </row>
    <row r="260" spans="1:9" x14ac:dyDescent="0.25">
      <c r="A260" s="973" t="s">
        <v>1077</v>
      </c>
      <c r="B260" s="1342" t="s">
        <v>1123</v>
      </c>
      <c r="C260" s="1342"/>
      <c r="D260" s="1342"/>
      <c r="E260" s="1342"/>
      <c r="F260" s="1342"/>
      <c r="G260" s="1342"/>
      <c r="H260" s="1342"/>
      <c r="I260" s="1342"/>
    </row>
    <row r="261" spans="1:9" ht="33" customHeight="1" x14ac:dyDescent="0.25">
      <c r="A261" s="973" t="s">
        <v>1079</v>
      </c>
      <c r="B261" s="1341" t="s">
        <v>1124</v>
      </c>
      <c r="C261" s="1341"/>
      <c r="D261" s="1341"/>
      <c r="E261" s="1341"/>
      <c r="F261" s="1341"/>
      <c r="G261" s="1341"/>
      <c r="H261" s="1341"/>
      <c r="I261" s="1341"/>
    </row>
    <row r="262" spans="1:9" x14ac:dyDescent="0.25">
      <c r="A262" s="973" t="s">
        <v>1081</v>
      </c>
      <c r="B262" s="1342" t="s">
        <v>1125</v>
      </c>
      <c r="C262" s="1342"/>
      <c r="D262" s="1342"/>
      <c r="E262" s="1342"/>
      <c r="F262" s="1342"/>
      <c r="G262" s="1342"/>
      <c r="H262" s="1342"/>
      <c r="I262" s="1342"/>
    </row>
    <row r="263" spans="1:9" ht="31.5" customHeight="1" x14ac:dyDescent="0.25">
      <c r="A263" s="973" t="s">
        <v>1083</v>
      </c>
      <c r="B263" s="1341" t="s">
        <v>1126</v>
      </c>
      <c r="C263" s="1341"/>
      <c r="D263" s="1341"/>
      <c r="E263" s="1341"/>
      <c r="F263" s="1341"/>
      <c r="G263" s="1341"/>
      <c r="H263" s="1341"/>
      <c r="I263" s="1341"/>
    </row>
    <row r="264" spans="1:9" ht="27.75" customHeight="1" x14ac:dyDescent="0.25">
      <c r="A264" s="973" t="s">
        <v>1127</v>
      </c>
      <c r="B264" s="1341" t="s">
        <v>1128</v>
      </c>
      <c r="C264" s="1341"/>
      <c r="D264" s="1341"/>
      <c r="E264" s="1341"/>
      <c r="F264" s="1341"/>
      <c r="G264" s="1341"/>
      <c r="H264" s="1341"/>
      <c r="I264" s="1341"/>
    </row>
    <row r="265" spans="1:9" ht="27.75" customHeight="1" x14ac:dyDescent="0.25">
      <c r="A265" s="973" t="s">
        <v>1129</v>
      </c>
      <c r="B265" s="1341" t="s">
        <v>1130</v>
      </c>
      <c r="C265" s="1341"/>
      <c r="D265" s="1341"/>
      <c r="E265" s="1341"/>
      <c r="F265" s="1341"/>
      <c r="G265" s="1341"/>
      <c r="H265" s="1341"/>
      <c r="I265" s="1341"/>
    </row>
    <row r="266" spans="1:9" ht="30.75" customHeight="1" x14ac:dyDescent="0.25">
      <c r="A266" s="973" t="s">
        <v>1131</v>
      </c>
      <c r="B266" s="1341" t="s">
        <v>1132</v>
      </c>
      <c r="C266" s="1341"/>
      <c r="D266" s="1341"/>
      <c r="E266" s="1341"/>
      <c r="F266" s="1341"/>
      <c r="G266" s="1341"/>
      <c r="H266" s="1341"/>
      <c r="I266" s="1341"/>
    </row>
    <row r="268" spans="1:9" ht="28.5" customHeight="1" x14ac:dyDescent="0.25">
      <c r="A268" s="1313" t="s">
        <v>1133</v>
      </c>
      <c r="B268" s="1313"/>
      <c r="C268" s="1313"/>
      <c r="D268" s="1313"/>
      <c r="E268" s="1313"/>
      <c r="F268" s="1313"/>
      <c r="G268" s="1313"/>
      <c r="H268" s="1313"/>
      <c r="I268" s="1313"/>
    </row>
    <row r="270" spans="1:9" x14ac:dyDescent="0.25">
      <c r="A270" t="s">
        <v>1134</v>
      </c>
    </row>
    <row r="271" spans="1:9" x14ac:dyDescent="0.25">
      <c r="A271" t="s">
        <v>245</v>
      </c>
    </row>
    <row r="272" spans="1:9" ht="48.75" customHeight="1" x14ac:dyDescent="0.25">
      <c r="A272" s="1333" t="s">
        <v>1135</v>
      </c>
      <c r="B272" s="1333"/>
      <c r="C272" s="1333"/>
      <c r="D272" s="1333"/>
      <c r="E272" s="1333"/>
      <c r="F272" s="1333"/>
      <c r="G272" s="1333"/>
      <c r="H272" s="1333"/>
      <c r="I272" s="1333"/>
    </row>
    <row r="274" spans="1:9" ht="48.75" customHeight="1" x14ac:dyDescent="0.25">
      <c r="A274" s="1333" t="s">
        <v>1136</v>
      </c>
      <c r="B274" s="1333"/>
      <c r="C274" s="1333"/>
      <c r="D274" s="1333"/>
      <c r="E274" s="1333"/>
      <c r="F274" s="1333"/>
      <c r="G274" s="1333"/>
      <c r="H274" s="1333"/>
      <c r="I274" s="1333"/>
    </row>
    <row r="276" spans="1:9" x14ac:dyDescent="0.25">
      <c r="A276" t="s">
        <v>1137</v>
      </c>
    </row>
    <row r="277" spans="1:9" ht="32.25" customHeight="1" x14ac:dyDescent="0.25">
      <c r="A277" s="1313" t="s">
        <v>1138</v>
      </c>
      <c r="B277" s="1313"/>
      <c r="C277" s="1313"/>
      <c r="D277" s="1313"/>
      <c r="E277" s="1313"/>
      <c r="F277" s="1313"/>
      <c r="G277" s="1313"/>
      <c r="H277" s="1313"/>
      <c r="I277" s="1313"/>
    </row>
    <row r="278" spans="1:9" x14ac:dyDescent="0.25">
      <c r="A278" t="s">
        <v>1139</v>
      </c>
    </row>
    <row r="279" spans="1:9" x14ac:dyDescent="0.25">
      <c r="B279" t="s">
        <v>1112</v>
      </c>
    </row>
    <row r="280" spans="1:9" x14ac:dyDescent="0.25">
      <c r="B280" t="s">
        <v>1114</v>
      </c>
    </row>
    <row r="282" spans="1:9" x14ac:dyDescent="0.25">
      <c r="A282" t="s">
        <v>1140</v>
      </c>
    </row>
    <row r="283" spans="1:9" x14ac:dyDescent="0.25">
      <c r="B283" t="s">
        <v>1141</v>
      </c>
    </row>
    <row r="285" spans="1:9" x14ac:dyDescent="0.25">
      <c r="A285" t="s">
        <v>1142</v>
      </c>
    </row>
    <row r="286" spans="1:9" x14ac:dyDescent="0.25">
      <c r="B286" t="s">
        <v>1143</v>
      </c>
    </row>
    <row r="287" spans="1:9" x14ac:dyDescent="0.25">
      <c r="B287" t="s">
        <v>1144</v>
      </c>
    </row>
    <row r="288" spans="1:9" x14ac:dyDescent="0.25">
      <c r="B288" t="s">
        <v>1145</v>
      </c>
    </row>
    <row r="289" spans="1:9" x14ac:dyDescent="0.25">
      <c r="B289" t="s">
        <v>1146</v>
      </c>
    </row>
    <row r="291" spans="1:9" x14ac:dyDescent="0.25">
      <c r="A291" t="s">
        <v>1147</v>
      </c>
    </row>
    <row r="293" spans="1:9" ht="45.75" customHeight="1" x14ac:dyDescent="0.25">
      <c r="A293" s="1313" t="s">
        <v>1148</v>
      </c>
      <c r="B293" s="1313"/>
      <c r="C293" s="1313"/>
      <c r="D293" s="1313"/>
      <c r="E293" s="1313"/>
      <c r="F293" s="1313"/>
      <c r="G293" s="1313"/>
      <c r="H293" s="1313"/>
      <c r="I293" s="1313"/>
    </row>
    <row r="294" spans="1:9" x14ac:dyDescent="0.25">
      <c r="A294" s="982" t="s">
        <v>1149</v>
      </c>
      <c r="B294" s="1342" t="s">
        <v>1150</v>
      </c>
      <c r="C294" s="1342"/>
      <c r="D294" s="1342"/>
      <c r="E294" s="1342"/>
      <c r="F294" s="1342"/>
      <c r="G294" s="1342"/>
      <c r="H294" s="1342"/>
      <c r="I294" s="1342"/>
    </row>
    <row r="295" spans="1:9" x14ac:dyDescent="0.25">
      <c r="A295" s="982" t="s">
        <v>1151</v>
      </c>
      <c r="B295" s="1342" t="s">
        <v>1152</v>
      </c>
      <c r="C295" s="1342"/>
      <c r="D295" s="1342"/>
      <c r="E295" s="1342"/>
      <c r="F295" s="1342"/>
      <c r="G295" s="1342"/>
      <c r="H295" s="1342"/>
      <c r="I295" s="1342"/>
    </row>
    <row r="296" spans="1:9" x14ac:dyDescent="0.25">
      <c r="A296" s="982" t="s">
        <v>1153</v>
      </c>
      <c r="B296" s="1342" t="s">
        <v>1154</v>
      </c>
      <c r="C296" s="1342"/>
      <c r="D296" s="1342"/>
      <c r="E296" s="1342"/>
      <c r="F296" s="1342"/>
      <c r="G296" s="1342"/>
      <c r="H296" s="1342"/>
      <c r="I296" s="1342"/>
    </row>
    <row r="297" spans="1:9" ht="48" customHeight="1" x14ac:dyDescent="0.25">
      <c r="A297" s="982" t="s">
        <v>1155</v>
      </c>
      <c r="B297" s="1341" t="s">
        <v>1156</v>
      </c>
      <c r="C297" s="1341"/>
      <c r="D297" s="1341"/>
      <c r="E297" s="1341"/>
      <c r="F297" s="1341"/>
      <c r="G297" s="1341"/>
      <c r="H297" s="1341"/>
      <c r="I297" s="1341"/>
    </row>
    <row r="299" spans="1:9" x14ac:dyDescent="0.25">
      <c r="A299" t="s">
        <v>1157</v>
      </c>
    </row>
    <row r="301" spans="1:9" ht="30" customHeight="1" x14ac:dyDescent="0.25">
      <c r="A301" t="s">
        <v>1048</v>
      </c>
      <c r="B301" s="1315" t="s">
        <v>1158</v>
      </c>
      <c r="C301" s="1315"/>
      <c r="D301" s="1315"/>
      <c r="E301" s="1315"/>
      <c r="F301" s="1315"/>
      <c r="G301" s="1315"/>
      <c r="H301" s="1315"/>
      <c r="I301" s="1315"/>
    </row>
    <row r="302" spans="1:9" x14ac:dyDescent="0.25">
      <c r="A302" t="s">
        <v>1049</v>
      </c>
      <c r="B302" t="s">
        <v>1159</v>
      </c>
    </row>
    <row r="303" spans="1:9" x14ac:dyDescent="0.25">
      <c r="A303" t="s">
        <v>1051</v>
      </c>
      <c r="B303" t="s">
        <v>1160</v>
      </c>
    </row>
    <row r="304" spans="1:9" x14ac:dyDescent="0.25">
      <c r="A304" t="s">
        <v>1053</v>
      </c>
      <c r="B304" t="s">
        <v>1161</v>
      </c>
    </row>
    <row r="305" spans="1:9" x14ac:dyDescent="0.25">
      <c r="A305" t="s">
        <v>1162</v>
      </c>
      <c r="B305" t="s">
        <v>1165</v>
      </c>
    </row>
    <row r="306" spans="1:9" x14ac:dyDescent="0.25">
      <c r="A306" t="s">
        <v>1163</v>
      </c>
      <c r="B306" t="s">
        <v>1167</v>
      </c>
    </row>
    <row r="308" spans="1:9" x14ac:dyDescent="0.25">
      <c r="A308" t="s">
        <v>1168</v>
      </c>
    </row>
    <row r="310" spans="1:9" ht="29.25" customHeight="1" x14ac:dyDescent="0.25">
      <c r="A310" t="s">
        <v>1048</v>
      </c>
      <c r="B310" s="1315" t="s">
        <v>1169</v>
      </c>
      <c r="C310" s="1315"/>
      <c r="D310" s="1315"/>
      <c r="E310" s="1315"/>
      <c r="F310" s="1315"/>
      <c r="G310" s="1315"/>
      <c r="H310" s="1315"/>
      <c r="I310" s="1315"/>
    </row>
    <row r="311" spans="1:9" x14ac:dyDescent="0.25">
      <c r="A311" t="s">
        <v>1049</v>
      </c>
      <c r="B311" t="s">
        <v>1170</v>
      </c>
    </row>
    <row r="312" spans="1:9" x14ac:dyDescent="0.25">
      <c r="A312" t="s">
        <v>1051</v>
      </c>
      <c r="B312" t="s">
        <v>1171</v>
      </c>
    </row>
    <row r="313" spans="1:9" x14ac:dyDescent="0.25">
      <c r="A313" t="s">
        <v>1053</v>
      </c>
      <c r="B313" t="s">
        <v>1172</v>
      </c>
    </row>
    <row r="314" spans="1:9" x14ac:dyDescent="0.25">
      <c r="A314" t="s">
        <v>1162</v>
      </c>
      <c r="B314" t="s">
        <v>1173</v>
      </c>
    </row>
    <row r="316" spans="1:9" x14ac:dyDescent="0.25">
      <c r="A316" t="s">
        <v>1174</v>
      </c>
    </row>
    <row r="318" spans="1:9" ht="43.5" customHeight="1" x14ac:dyDescent="0.25">
      <c r="A318" t="s">
        <v>1048</v>
      </c>
      <c r="B318" s="1341" t="s">
        <v>1175</v>
      </c>
      <c r="C318" s="1341"/>
      <c r="D318" s="1341"/>
      <c r="E318" s="1341"/>
      <c r="F318" s="1341"/>
      <c r="G318" s="1341"/>
      <c r="H318" s="1341"/>
      <c r="I318" s="1341"/>
    </row>
    <row r="319" spans="1:9" x14ac:dyDescent="0.25">
      <c r="A319" t="s">
        <v>503</v>
      </c>
      <c r="F319" s="983">
        <v>0.1</v>
      </c>
    </row>
    <row r="320" spans="1:9" x14ac:dyDescent="0.25">
      <c r="A320" t="s">
        <v>1176</v>
      </c>
      <c r="F320" s="984">
        <v>0.33300000000000002</v>
      </c>
    </row>
    <row r="321" spans="1:9" x14ac:dyDescent="0.25">
      <c r="A321" t="s">
        <v>506</v>
      </c>
      <c r="F321" s="983">
        <v>0.2</v>
      </c>
    </row>
    <row r="322" spans="1:9" x14ac:dyDescent="0.25">
      <c r="A322" t="s">
        <v>1177</v>
      </c>
      <c r="F322" s="983">
        <v>0.1</v>
      </c>
    </row>
    <row r="323" spans="1:9" x14ac:dyDescent="0.25">
      <c r="A323" t="s">
        <v>1049</v>
      </c>
      <c r="B323" t="s">
        <v>1178</v>
      </c>
    </row>
    <row r="324" spans="1:9" x14ac:dyDescent="0.25">
      <c r="A324" t="s">
        <v>1051</v>
      </c>
      <c r="B324" t="s">
        <v>1179</v>
      </c>
    </row>
    <row r="325" spans="1:9" x14ac:dyDescent="0.25">
      <c r="A325" t="s">
        <v>1053</v>
      </c>
      <c r="B325" t="s">
        <v>1180</v>
      </c>
    </row>
    <row r="326" spans="1:9" x14ac:dyDescent="0.25">
      <c r="A326" t="s">
        <v>1162</v>
      </c>
      <c r="B326" t="s">
        <v>1181</v>
      </c>
    </row>
    <row r="327" spans="1:9" ht="58.5" customHeight="1" x14ac:dyDescent="0.25">
      <c r="A327" t="s">
        <v>1163</v>
      </c>
      <c r="B327" s="1341" t="s">
        <v>1182</v>
      </c>
      <c r="C327" s="1341"/>
      <c r="D327" s="1341"/>
      <c r="E327" s="1341"/>
      <c r="F327" s="1341"/>
      <c r="G327" s="1341"/>
      <c r="H327" s="1341"/>
      <c r="I327" s="1341"/>
    </row>
    <row r="328" spans="1:9" x14ac:dyDescent="0.25">
      <c r="A328" t="s">
        <v>1164</v>
      </c>
      <c r="B328" t="s">
        <v>1183</v>
      </c>
    </row>
    <row r="329" spans="1:9" ht="33" customHeight="1" x14ac:dyDescent="0.25">
      <c r="A329" t="s">
        <v>1166</v>
      </c>
      <c r="B329" s="1315" t="s">
        <v>1184</v>
      </c>
      <c r="C329" s="1315"/>
      <c r="D329" s="1315"/>
      <c r="E329" s="1315"/>
      <c r="F329" s="1315"/>
      <c r="G329" s="1315"/>
      <c r="H329" s="1315"/>
      <c r="I329" s="1315"/>
    </row>
    <row r="331" spans="1:9" x14ac:dyDescent="0.25">
      <c r="A331" t="s">
        <v>1185</v>
      </c>
    </row>
    <row r="333" spans="1:9" x14ac:dyDescent="0.25">
      <c r="A333" t="s">
        <v>1186</v>
      </c>
    </row>
    <row r="335" spans="1:9" x14ac:dyDescent="0.25">
      <c r="A335" t="s">
        <v>1187</v>
      </c>
    </row>
    <row r="337" spans="1:9" ht="36" customHeight="1" x14ac:dyDescent="0.25">
      <c r="A337" s="1331" t="s">
        <v>2271</v>
      </c>
      <c r="B337" s="1331"/>
      <c r="C337" s="1331"/>
      <c r="D337" s="1331"/>
      <c r="E337" s="1331"/>
      <c r="F337" s="1331"/>
      <c r="G337" s="1331"/>
      <c r="H337" s="1331"/>
      <c r="I337" s="1331"/>
    </row>
    <row r="339" spans="1:9" s="1044" customFormat="1" x14ac:dyDescent="0.25"/>
    <row r="340" spans="1:9" x14ac:dyDescent="0.25">
      <c r="A340" t="s">
        <v>1188</v>
      </c>
    </row>
    <row r="341" spans="1:9" ht="102.75" customHeight="1" x14ac:dyDescent="0.25">
      <c r="A341" s="1333" t="s">
        <v>1189</v>
      </c>
      <c r="B341" s="1333"/>
      <c r="C341" s="1333"/>
      <c r="D341" s="1333"/>
      <c r="E341" s="1333"/>
      <c r="F341" s="1333"/>
      <c r="G341" s="1333"/>
      <c r="H341" s="1333"/>
      <c r="I341" s="1333"/>
    </row>
    <row r="343" spans="1:9" x14ac:dyDescent="0.25">
      <c r="A343" t="s">
        <v>1190</v>
      </c>
    </row>
    <row r="344" spans="1:9" x14ac:dyDescent="0.25">
      <c r="A344" t="s">
        <v>1191</v>
      </c>
    </row>
    <row r="346" spans="1:9" x14ac:dyDescent="0.25">
      <c r="A346" t="s">
        <v>1192</v>
      </c>
    </row>
    <row r="347" spans="1:9" x14ac:dyDescent="0.25">
      <c r="A347" t="s">
        <v>1193</v>
      </c>
    </row>
    <row r="348" spans="1:9" x14ac:dyDescent="0.25">
      <c r="A348" t="s">
        <v>1194</v>
      </c>
    </row>
    <row r="349" spans="1:9" ht="32.25" customHeight="1" x14ac:dyDescent="0.25">
      <c r="A349" s="1313" t="s">
        <v>1195</v>
      </c>
      <c r="B349" s="1313"/>
      <c r="C349" s="1313"/>
      <c r="D349" s="1313"/>
      <c r="E349" s="1313"/>
      <c r="F349" s="1313"/>
      <c r="G349" s="1313"/>
      <c r="H349" s="1313"/>
      <c r="I349" s="1313"/>
    </row>
    <row r="350" spans="1:9" x14ac:dyDescent="0.25">
      <c r="A350" t="s">
        <v>1196</v>
      </c>
    </row>
    <row r="351" spans="1:9" x14ac:dyDescent="0.25">
      <c r="A351" t="s">
        <v>1197</v>
      </c>
    </row>
    <row r="352" spans="1:9" ht="35.25" customHeight="1" x14ac:dyDescent="0.25">
      <c r="A352" s="1313" t="s">
        <v>1198</v>
      </c>
      <c r="B352" s="1313"/>
      <c r="C352" s="1313"/>
      <c r="D352" s="1313"/>
      <c r="E352" s="1313"/>
      <c r="F352" s="1313"/>
      <c r="G352" s="1313"/>
      <c r="H352" s="1313"/>
      <c r="I352" s="1313"/>
    </row>
    <row r="353" spans="1:9" x14ac:dyDescent="0.25">
      <c r="A353" t="s">
        <v>1199</v>
      </c>
    </row>
    <row r="354" spans="1:9" ht="34.5" customHeight="1" x14ac:dyDescent="0.25">
      <c r="A354" s="1313" t="s">
        <v>1200</v>
      </c>
      <c r="B354" s="1313"/>
      <c r="C354" s="1313"/>
      <c r="D354" s="1313"/>
      <c r="E354" s="1313"/>
      <c r="F354" s="1313"/>
      <c r="G354" s="1313"/>
      <c r="H354" s="1313"/>
      <c r="I354" s="1313"/>
    </row>
    <row r="355" spans="1:9" x14ac:dyDescent="0.25">
      <c r="A355" t="s">
        <v>1201</v>
      </c>
    </row>
    <row r="356" spans="1:9" ht="47.25" customHeight="1" x14ac:dyDescent="0.25">
      <c r="A356" s="1313" t="s">
        <v>1202</v>
      </c>
      <c r="B356" s="1313"/>
      <c r="C356" s="1313"/>
      <c r="D356" s="1313"/>
      <c r="E356" s="1313"/>
      <c r="F356" s="1313"/>
      <c r="G356" s="1313"/>
      <c r="H356" s="1313"/>
      <c r="I356" s="1313"/>
    </row>
    <row r="359" spans="1:9" x14ac:dyDescent="0.25">
      <c r="A359" t="s">
        <v>1203</v>
      </c>
    </row>
    <row r="360" spans="1:9" x14ac:dyDescent="0.25">
      <c r="A360" t="s">
        <v>1204</v>
      </c>
    </row>
    <row r="361" spans="1:9" ht="6.75" customHeight="1" x14ac:dyDescent="0.25"/>
    <row r="362" spans="1:9" ht="12" customHeight="1" x14ac:dyDescent="0.25">
      <c r="C362" s="985" t="s">
        <v>528</v>
      </c>
      <c r="D362" s="985" t="s">
        <v>528</v>
      </c>
      <c r="E362" s="985" t="s">
        <v>528</v>
      </c>
      <c r="F362" s="985" t="s">
        <v>528</v>
      </c>
      <c r="G362" s="985" t="s">
        <v>1205</v>
      </c>
    </row>
    <row r="363" spans="1:9" ht="10.5" customHeight="1" x14ac:dyDescent="0.25">
      <c r="C363" s="985" t="s">
        <v>398</v>
      </c>
      <c r="D363" s="985" t="s">
        <v>1206</v>
      </c>
      <c r="E363" s="985" t="s">
        <v>399</v>
      </c>
      <c r="F363" s="985" t="s">
        <v>1207</v>
      </c>
      <c r="G363" s="985" t="s">
        <v>630</v>
      </c>
    </row>
    <row r="364" spans="1:9" x14ac:dyDescent="0.25">
      <c r="A364" s="1343" t="s">
        <v>1208</v>
      </c>
      <c r="B364" s="1343"/>
      <c r="C364" s="986" t="s">
        <v>474</v>
      </c>
      <c r="D364" s="986">
        <v>4</v>
      </c>
      <c r="E364" s="986">
        <v>5</v>
      </c>
      <c r="F364" s="986">
        <v>6</v>
      </c>
      <c r="G364" s="986">
        <v>7</v>
      </c>
    </row>
    <row r="365" spans="1:9" x14ac:dyDescent="0.25">
      <c r="A365" s="1343" t="s">
        <v>1209</v>
      </c>
      <c r="B365" s="1343"/>
      <c r="C365" s="987">
        <v>2853588.91</v>
      </c>
      <c r="D365" s="987">
        <v>2853588.91</v>
      </c>
      <c r="E365" s="987">
        <v>2853588.91</v>
      </c>
      <c r="F365" s="987">
        <v>2853588.91</v>
      </c>
      <c r="G365" s="987">
        <v>2853588.91</v>
      </c>
    </row>
    <row r="367" spans="1:9" x14ac:dyDescent="0.25">
      <c r="A367" s="1343" t="s">
        <v>1210</v>
      </c>
      <c r="B367" s="1343"/>
      <c r="C367" s="987">
        <v>34262099.590000004</v>
      </c>
      <c r="D367" s="987">
        <v>32028088.649999999</v>
      </c>
      <c r="E367" s="987">
        <v>32028088.649999999</v>
      </c>
      <c r="F367" s="987">
        <v>32028088.649999999</v>
      </c>
      <c r="G367" s="987">
        <v>30726497.73</v>
      </c>
    </row>
    <row r="368" spans="1:9" ht="15.75" thickBot="1" x14ac:dyDescent="0.3"/>
    <row r="369" spans="1:9" ht="15.75" thickTop="1" x14ac:dyDescent="0.25">
      <c r="B369" s="988" t="s">
        <v>1211</v>
      </c>
      <c r="C369" s="989">
        <f>SUM(C365:C367)</f>
        <v>37115688.5</v>
      </c>
      <c r="D369" s="989">
        <f>SUM(D365:D367)</f>
        <v>34881677.560000002</v>
      </c>
      <c r="E369" s="989">
        <f>SUM(E365:E367)</f>
        <v>34881677.560000002</v>
      </c>
      <c r="F369" s="989">
        <f>SUM(F365:F367)</f>
        <v>34881677.560000002</v>
      </c>
      <c r="G369" s="989">
        <f>SUM(G365:G367)</f>
        <v>33580086.640000001</v>
      </c>
      <c r="H369" s="989"/>
      <c r="I369" s="989"/>
    </row>
    <row r="370" spans="1:9" x14ac:dyDescent="0.25">
      <c r="C370" s="969"/>
      <c r="D370" s="969"/>
      <c r="E370" s="969"/>
      <c r="F370" s="969"/>
      <c r="G370" s="969"/>
    </row>
    <row r="371" spans="1:9" x14ac:dyDescent="0.25">
      <c r="A371" t="s">
        <v>1212</v>
      </c>
    </row>
    <row r="372" spans="1:9" x14ac:dyDescent="0.25">
      <c r="A372" t="s">
        <v>1213</v>
      </c>
    </row>
    <row r="374" spans="1:9" x14ac:dyDescent="0.25">
      <c r="A374" t="s">
        <v>1214</v>
      </c>
    </row>
    <row r="375" spans="1:9" ht="27.75" customHeight="1" x14ac:dyDescent="0.25">
      <c r="A375" s="1313" t="s">
        <v>1215</v>
      </c>
      <c r="B375" s="1313"/>
      <c r="C375" s="1313"/>
      <c r="D375" s="1313"/>
      <c r="E375" s="1313"/>
      <c r="F375" s="1313"/>
      <c r="G375" s="1313"/>
      <c r="H375" s="1313"/>
      <c r="I375" s="1313"/>
    </row>
    <row r="377" spans="1:9" x14ac:dyDescent="0.25">
      <c r="A377" t="s">
        <v>1216</v>
      </c>
    </row>
    <row r="379" spans="1:9" ht="30" customHeight="1" x14ac:dyDescent="0.25">
      <c r="A379" s="1313" t="s">
        <v>1217</v>
      </c>
      <c r="B379" s="1313"/>
      <c r="C379" s="1313"/>
      <c r="D379" s="1313"/>
      <c r="E379" s="1313"/>
      <c r="F379" s="1313"/>
      <c r="G379" s="1313"/>
      <c r="H379" s="1313"/>
      <c r="I379" s="1313"/>
    </row>
    <row r="381" spans="1:9" x14ac:dyDescent="0.25">
      <c r="A381" s="1296"/>
      <c r="B381" s="1296"/>
      <c r="C381" s="1296"/>
      <c r="D381" s="1296"/>
      <c r="E381" s="990"/>
      <c r="F381" s="1296"/>
      <c r="G381" s="1296"/>
      <c r="H381" s="991"/>
      <c r="I381" s="991"/>
    </row>
    <row r="382" spans="1:9" x14ac:dyDescent="0.25">
      <c r="A382" s="990"/>
      <c r="B382" s="992"/>
      <c r="C382" s="990"/>
      <c r="D382" s="990"/>
      <c r="E382" s="990"/>
      <c r="F382" s="990"/>
      <c r="G382" s="990"/>
      <c r="H382" s="990"/>
      <c r="I382" s="991"/>
    </row>
    <row r="383" spans="1:9" x14ac:dyDescent="0.25">
      <c r="A383" s="990"/>
      <c r="B383" s="992"/>
      <c r="C383" s="990"/>
      <c r="D383" s="990"/>
      <c r="E383" s="990"/>
      <c r="F383" s="990"/>
      <c r="G383" s="990"/>
      <c r="H383" s="990"/>
      <c r="I383" s="991"/>
    </row>
    <row r="384" spans="1:9" x14ac:dyDescent="0.25">
      <c r="A384" s="1296"/>
      <c r="B384" s="1296"/>
      <c r="C384" s="1296"/>
      <c r="D384" s="1296"/>
      <c r="E384" s="990"/>
      <c r="F384" s="1296"/>
      <c r="G384" s="1296"/>
      <c r="H384" s="1296"/>
      <c r="I384" s="1296"/>
    </row>
    <row r="385" spans="1:9" x14ac:dyDescent="0.25">
      <c r="A385" s="1296"/>
      <c r="B385" s="1296"/>
      <c r="C385" s="1296"/>
      <c r="D385" s="1296"/>
      <c r="E385" s="990"/>
      <c r="F385" s="1296"/>
      <c r="G385" s="1296"/>
      <c r="H385" s="1296"/>
      <c r="I385" s="1296"/>
    </row>
    <row r="386" spans="1:9" x14ac:dyDescent="0.25">
      <c r="A386" s="488"/>
      <c r="B386" s="488"/>
      <c r="C386" s="488"/>
      <c r="D386" s="488"/>
      <c r="E386" s="488"/>
      <c r="F386" s="488"/>
      <c r="G386" s="488"/>
      <c r="H386" s="488"/>
      <c r="I386" s="488"/>
    </row>
    <row r="387" spans="1:9" x14ac:dyDescent="0.25">
      <c r="A387" t="s">
        <v>1218</v>
      </c>
    </row>
  </sheetData>
  <protectedRanges>
    <protectedRange sqref="G86" name="Pasivos"/>
    <protectedRange sqref="B86:E86" name="Pasivos_1"/>
  </protectedRanges>
  <mergeCells count="124">
    <mergeCell ref="A364:B364"/>
    <mergeCell ref="B310:I310"/>
    <mergeCell ref="B266:I266"/>
    <mergeCell ref="A268:I268"/>
    <mergeCell ref="A272:I272"/>
    <mergeCell ref="A274:I274"/>
    <mergeCell ref="A277:I277"/>
    <mergeCell ref="A293:I293"/>
    <mergeCell ref="B294:I294"/>
    <mergeCell ref="B295:I295"/>
    <mergeCell ref="B296:I296"/>
    <mergeCell ref="B297:I297"/>
    <mergeCell ref="A356:I356"/>
    <mergeCell ref="A349:I349"/>
    <mergeCell ref="A341:I341"/>
    <mergeCell ref="A385:D385"/>
    <mergeCell ref="F385:I385"/>
    <mergeCell ref="A367:B367"/>
    <mergeCell ref="A375:I375"/>
    <mergeCell ref="A379:I379"/>
    <mergeCell ref="A381:D381"/>
    <mergeCell ref="A384:D384"/>
    <mergeCell ref="F384:I384"/>
    <mergeCell ref="A365:B365"/>
    <mergeCell ref="B265:I265"/>
    <mergeCell ref="A190:E190"/>
    <mergeCell ref="B263:I263"/>
    <mergeCell ref="B264:I264"/>
    <mergeCell ref="B301:I301"/>
    <mergeCell ref="B318:I318"/>
    <mergeCell ref="B327:I327"/>
    <mergeCell ref="B329:I329"/>
    <mergeCell ref="A337:I337"/>
    <mergeCell ref="A196:E196"/>
    <mergeCell ref="A236:I236"/>
    <mergeCell ref="A238:I238"/>
    <mergeCell ref="B249:I249"/>
    <mergeCell ref="B250:I250"/>
    <mergeCell ref="A255:I255"/>
    <mergeCell ref="B259:I259"/>
    <mergeCell ref="B260:I260"/>
    <mergeCell ref="B261:I261"/>
    <mergeCell ref="B262:I262"/>
    <mergeCell ref="A155:D155"/>
    <mergeCell ref="A352:I352"/>
    <mergeCell ref="A354:I354"/>
    <mergeCell ref="A232:I232"/>
    <mergeCell ref="B91:I91"/>
    <mergeCell ref="F99:G99"/>
    <mergeCell ref="A107:I107"/>
    <mergeCell ref="A119:I119"/>
    <mergeCell ref="A123:I123"/>
    <mergeCell ref="B144:I144"/>
    <mergeCell ref="A153:I153"/>
    <mergeCell ref="A203:I203"/>
    <mergeCell ref="A229:I229"/>
    <mergeCell ref="A176:H176"/>
    <mergeCell ref="A178:F178"/>
    <mergeCell ref="A180:E180"/>
    <mergeCell ref="A133:E133"/>
    <mergeCell ref="A134:E134"/>
    <mergeCell ref="A135:E135"/>
    <mergeCell ref="A132:E132"/>
    <mergeCell ref="A194:E194"/>
    <mergeCell ref="A195:E195"/>
    <mergeCell ref="A197:E197"/>
    <mergeCell ref="A188:F188"/>
    <mergeCell ref="A137:E137"/>
    <mergeCell ref="A191:E191"/>
    <mergeCell ref="A193:E193"/>
    <mergeCell ref="A52:F52"/>
    <mergeCell ref="G52:I52"/>
    <mergeCell ref="A65:F65"/>
    <mergeCell ref="G65:I65"/>
    <mergeCell ref="B89:I89"/>
    <mergeCell ref="B90:I90"/>
    <mergeCell ref="A125:E125"/>
    <mergeCell ref="A126:E126"/>
    <mergeCell ref="B88:I88"/>
    <mergeCell ref="A138:E138"/>
    <mergeCell ref="A127:E127"/>
    <mergeCell ref="A128:E128"/>
    <mergeCell ref="A129:E129"/>
    <mergeCell ref="A130:E130"/>
    <mergeCell ref="A131:E131"/>
    <mergeCell ref="A192:E192"/>
    <mergeCell ref="A181:E181"/>
    <mergeCell ref="A182:E182"/>
    <mergeCell ref="A183:E183"/>
    <mergeCell ref="A184:E184"/>
    <mergeCell ref="A158:D158"/>
    <mergeCell ref="A1:I1"/>
    <mergeCell ref="A2:I2"/>
    <mergeCell ref="A3:I3"/>
    <mergeCell ref="A4:I4"/>
    <mergeCell ref="A5:I5"/>
    <mergeCell ref="A14:I14"/>
    <mergeCell ref="B44:I44"/>
    <mergeCell ref="B45:I45"/>
    <mergeCell ref="A68:I68"/>
    <mergeCell ref="A159:D159"/>
    <mergeCell ref="A160:D160"/>
    <mergeCell ref="A161:D161"/>
    <mergeCell ref="F381:G381"/>
    <mergeCell ref="J52:L52"/>
    <mergeCell ref="A53:F53"/>
    <mergeCell ref="G53:I53"/>
    <mergeCell ref="J53:L53"/>
    <mergeCell ref="A64:F64"/>
    <mergeCell ref="G64:I64"/>
    <mergeCell ref="J64:L64"/>
    <mergeCell ref="A140:E140"/>
    <mergeCell ref="A172:D172"/>
    <mergeCell ref="A170:D170"/>
    <mergeCell ref="A171:D171"/>
    <mergeCell ref="A168:D168"/>
    <mergeCell ref="A169:D169"/>
    <mergeCell ref="A166:D166"/>
    <mergeCell ref="A167:D167"/>
    <mergeCell ref="A162:D162"/>
    <mergeCell ref="A164:G164"/>
    <mergeCell ref="J65:L65"/>
    <mergeCell ref="A157:D157"/>
    <mergeCell ref="A136:E136"/>
  </mergeCells>
  <pageMargins left="0.31496062992125984" right="0.31496062992125984" top="0.74803149606299213" bottom="0.74803149606299213" header="0.31496062992125984" footer="0.31496062992125984"/>
  <pageSetup scale="95" orientation="portrait" r:id="rId1"/>
  <ignoredErrors>
    <ignoredError sqref="F162" formulaRange="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8"/>
  <sheetViews>
    <sheetView tabSelected="1" view="pageBreakPreview" topLeftCell="A7" zoomScaleNormal="100" zoomScaleSheetLayoutView="100" workbookViewId="0">
      <selection activeCell="F18" sqref="F18"/>
    </sheetView>
  </sheetViews>
  <sheetFormatPr baseColWidth="10" defaultColWidth="11.28515625" defaultRowHeight="16.5" x14ac:dyDescent="0.25"/>
  <cols>
    <col min="1" max="1" width="1.140625" style="220" customWidth="1"/>
    <col min="2" max="2" width="31.7109375" style="220" customWidth="1"/>
    <col min="3" max="4" width="14.28515625" style="110" customWidth="1"/>
    <col min="5" max="5" width="13.140625" style="110" customWidth="1"/>
    <col min="6" max="6" width="14" style="110" customWidth="1"/>
    <col min="7" max="7" width="15" style="110" customWidth="1"/>
    <col min="8" max="8" width="14.28515625" style="110" customWidth="1"/>
    <col min="9" max="16384" width="11.28515625" style="110"/>
  </cols>
  <sheetData>
    <row r="1" spans="1:8" x14ac:dyDescent="0.25">
      <c r="A1" s="1236" t="str">
        <f>'CPCA-I-01'!A1:G1</f>
        <v>RADIO SONORA</v>
      </c>
      <c r="B1" s="1236"/>
      <c r="C1" s="1236"/>
      <c r="D1" s="1236"/>
      <c r="E1" s="1236"/>
      <c r="F1" s="1236"/>
      <c r="G1" s="1236"/>
      <c r="H1" s="1236"/>
    </row>
    <row r="2" spans="1:8" s="152" customFormat="1" ht="15.75" x14ac:dyDescent="0.25">
      <c r="A2" s="1237" t="s">
        <v>11</v>
      </c>
      <c r="B2" s="1237"/>
      <c r="C2" s="1237"/>
      <c r="D2" s="1237"/>
      <c r="E2" s="1237"/>
      <c r="F2" s="1237"/>
      <c r="G2" s="1237"/>
      <c r="H2" s="1237"/>
    </row>
    <row r="3" spans="1:8" s="152" customFormat="1" ht="15.75" x14ac:dyDescent="0.25">
      <c r="A3" s="1236"/>
      <c r="B3" s="1236"/>
      <c r="C3" s="1236"/>
      <c r="D3" s="1236"/>
      <c r="E3" s="1236"/>
      <c r="F3" s="1236"/>
      <c r="G3" s="1236"/>
      <c r="H3" s="1236"/>
    </row>
    <row r="4" spans="1:8" s="152" customFormat="1" x14ac:dyDescent="0.25">
      <c r="A4" s="1238" t="str">
        <f>'CPCA-I-03'!A4:D4</f>
        <v>Del 01 de ENERO al 31 de DICIEMBRE de 2024</v>
      </c>
      <c r="B4" s="1238"/>
      <c r="C4" s="1238"/>
      <c r="D4" s="1238"/>
      <c r="E4" s="1238"/>
      <c r="F4" s="1238"/>
      <c r="G4" s="1238"/>
      <c r="H4" s="1238"/>
    </row>
    <row r="5" spans="1:8" s="154" customFormat="1" ht="17.25" thickBot="1" x14ac:dyDescent="0.3">
      <c r="A5" s="153"/>
      <c r="B5" s="153"/>
      <c r="C5" s="1239" t="s">
        <v>84</v>
      </c>
      <c r="D5" s="1239"/>
      <c r="E5" s="1239"/>
      <c r="F5" s="1239"/>
      <c r="G5" s="502"/>
      <c r="H5" s="38"/>
    </row>
    <row r="6" spans="1:8" s="191" customFormat="1" ht="17.25" thickBot="1" x14ac:dyDescent="0.3">
      <c r="A6" s="1362" t="s">
        <v>957</v>
      </c>
      <c r="B6" s="1363"/>
      <c r="C6" s="1351" t="s">
        <v>394</v>
      </c>
      <c r="D6" s="1352"/>
      <c r="E6" s="1352"/>
      <c r="F6" s="1352"/>
      <c r="G6" s="1353"/>
      <c r="H6" s="784"/>
    </row>
    <row r="7" spans="1:8" s="191" customFormat="1" ht="39" thickBot="1" x14ac:dyDescent="0.3">
      <c r="A7" s="1364"/>
      <c r="B7" s="1365"/>
      <c r="C7" s="926" t="s">
        <v>958</v>
      </c>
      <c r="D7" s="926" t="s">
        <v>375</v>
      </c>
      <c r="E7" s="926" t="s">
        <v>398</v>
      </c>
      <c r="F7" s="927" t="s">
        <v>731</v>
      </c>
      <c r="G7" s="927" t="s">
        <v>959</v>
      </c>
      <c r="H7" s="928" t="s">
        <v>376</v>
      </c>
    </row>
    <row r="8" spans="1:8" s="191" customFormat="1" ht="17.25" thickBot="1" x14ac:dyDescent="0.3">
      <c r="A8" s="1366"/>
      <c r="B8" s="1367"/>
      <c r="C8" s="205" t="s">
        <v>377</v>
      </c>
      <c r="D8" s="205" t="s">
        <v>378</v>
      </c>
      <c r="E8" s="205" t="s">
        <v>379</v>
      </c>
      <c r="F8" s="785" t="s">
        <v>380</v>
      </c>
      <c r="G8" s="785" t="s">
        <v>381</v>
      </c>
      <c r="H8" s="205" t="s">
        <v>382</v>
      </c>
    </row>
    <row r="9" spans="1:8" s="191" customFormat="1" ht="8.25" customHeight="1" x14ac:dyDescent="0.25">
      <c r="A9" s="195"/>
      <c r="B9" s="781"/>
      <c r="C9" s="786"/>
      <c r="D9" s="786"/>
      <c r="E9" s="787"/>
      <c r="F9" s="786"/>
      <c r="G9" s="786"/>
      <c r="H9" s="787"/>
    </row>
    <row r="10" spans="1:8" ht="17.100000000000001" customHeight="1" x14ac:dyDescent="0.25">
      <c r="A10" s="196"/>
      <c r="B10" s="782" t="s">
        <v>199</v>
      </c>
      <c r="C10" s="788"/>
      <c r="D10" s="788"/>
      <c r="E10" s="789">
        <f>C10+D10</f>
        <v>0</v>
      </c>
      <c r="F10" s="788"/>
      <c r="G10" s="788"/>
      <c r="H10" s="789">
        <f>G10-C10</f>
        <v>0</v>
      </c>
    </row>
    <row r="11" spans="1:8" ht="17.100000000000001" customHeight="1" x14ac:dyDescent="0.25">
      <c r="A11" s="196"/>
      <c r="B11" s="782" t="s">
        <v>200</v>
      </c>
      <c r="C11" s="788">
        <v>0</v>
      </c>
      <c r="D11" s="788">
        <v>0</v>
      </c>
      <c r="E11" s="789">
        <f t="shared" ref="E11:E19" si="0">C11+D11</f>
        <v>0</v>
      </c>
      <c r="F11" s="788">
        <v>0</v>
      </c>
      <c r="G11" s="788">
        <v>0</v>
      </c>
      <c r="H11" s="789">
        <f t="shared" ref="H11:H20" si="1">G11-C11</f>
        <v>0</v>
      </c>
    </row>
    <row r="12" spans="1:8" ht="17.100000000000001" customHeight="1" x14ac:dyDescent="0.25">
      <c r="A12" s="196"/>
      <c r="B12" s="782" t="s">
        <v>383</v>
      </c>
      <c r="C12" s="788">
        <v>0</v>
      </c>
      <c r="D12" s="788"/>
      <c r="E12" s="789">
        <f t="shared" si="0"/>
        <v>0</v>
      </c>
      <c r="F12" s="788"/>
      <c r="G12" s="788"/>
      <c r="H12" s="789">
        <f t="shared" si="1"/>
        <v>0</v>
      </c>
    </row>
    <row r="13" spans="1:8" ht="17.100000000000001" customHeight="1" x14ac:dyDescent="0.25">
      <c r="A13" s="196"/>
      <c r="B13" s="782" t="s">
        <v>202</v>
      </c>
      <c r="C13" s="788">
        <v>0</v>
      </c>
      <c r="D13" s="788"/>
      <c r="E13" s="789">
        <f t="shared" si="0"/>
        <v>0</v>
      </c>
      <c r="F13" s="788"/>
      <c r="G13" s="788"/>
      <c r="H13" s="789">
        <f t="shared" si="1"/>
        <v>0</v>
      </c>
    </row>
    <row r="14" spans="1:8" ht="17.100000000000001" customHeight="1" x14ac:dyDescent="0.25">
      <c r="A14" s="196"/>
      <c r="B14" s="782" t="s">
        <v>384</v>
      </c>
      <c r="C14" s="788">
        <v>0</v>
      </c>
      <c r="D14" s="788"/>
      <c r="E14" s="789">
        <f t="shared" si="0"/>
        <v>0</v>
      </c>
      <c r="F14" s="788"/>
      <c r="G14" s="790"/>
      <c r="H14" s="789">
        <f t="shared" si="1"/>
        <v>0</v>
      </c>
    </row>
    <row r="15" spans="1:8" ht="17.100000000000001" customHeight="1" x14ac:dyDescent="0.25">
      <c r="A15" s="196"/>
      <c r="B15" s="782" t="s">
        <v>385</v>
      </c>
      <c r="C15" s="788">
        <v>0</v>
      </c>
      <c r="D15" s="788"/>
      <c r="E15" s="789">
        <f t="shared" si="0"/>
        <v>0</v>
      </c>
      <c r="F15" s="788"/>
      <c r="G15" s="788"/>
      <c r="H15" s="789">
        <f t="shared" si="1"/>
        <v>0</v>
      </c>
    </row>
    <row r="16" spans="1:8" ht="29.25" customHeight="1" x14ac:dyDescent="0.25">
      <c r="A16" s="196"/>
      <c r="B16" s="782" t="s">
        <v>960</v>
      </c>
      <c r="C16" s="788">
        <v>900000</v>
      </c>
      <c r="D16" s="1103">
        <v>2087115.89</v>
      </c>
      <c r="E16" s="789">
        <f t="shared" si="0"/>
        <v>2987115.8899999997</v>
      </c>
      <c r="F16" s="1152">
        <v>2987115.89</v>
      </c>
      <c r="G16" s="788">
        <f>F16</f>
        <v>2987115.89</v>
      </c>
      <c r="H16" s="789">
        <f t="shared" si="1"/>
        <v>2087115.8900000001</v>
      </c>
    </row>
    <row r="17" spans="1:8" ht="55.5" customHeight="1" x14ac:dyDescent="0.25">
      <c r="A17" s="196"/>
      <c r="B17" s="782" t="s">
        <v>961</v>
      </c>
      <c r="C17" s="788"/>
      <c r="D17" s="788"/>
      <c r="E17" s="789">
        <f t="shared" si="0"/>
        <v>0</v>
      </c>
      <c r="F17" s="788"/>
      <c r="G17" s="788"/>
      <c r="H17" s="789">
        <f t="shared" si="1"/>
        <v>0</v>
      </c>
    </row>
    <row r="18" spans="1:8" ht="25.5" x14ac:dyDescent="0.25">
      <c r="A18" s="196"/>
      <c r="B18" s="782" t="s">
        <v>965</v>
      </c>
      <c r="C18" s="788">
        <v>31353060.079999998</v>
      </c>
      <c r="D18" s="1103">
        <v>2838601.7</v>
      </c>
      <c r="E18" s="789">
        <f t="shared" si="0"/>
        <v>34191661.780000001</v>
      </c>
      <c r="F18" s="1152">
        <v>33638983.780000001</v>
      </c>
      <c r="G18" s="788">
        <f>F18</f>
        <v>33638983.780000001</v>
      </c>
      <c r="H18" s="789">
        <f t="shared" si="1"/>
        <v>2285923.700000003</v>
      </c>
    </row>
    <row r="19" spans="1:8" ht="17.100000000000001" customHeight="1" thickBot="1" x14ac:dyDescent="0.3">
      <c r="A19" s="197"/>
      <c r="B19" s="783" t="s">
        <v>386</v>
      </c>
      <c r="C19" s="791"/>
      <c r="D19" s="791"/>
      <c r="E19" s="792">
        <f t="shared" si="0"/>
        <v>0</v>
      </c>
      <c r="F19" s="791"/>
      <c r="G19" s="791"/>
      <c r="H19" s="792">
        <f t="shared" si="1"/>
        <v>0</v>
      </c>
    </row>
    <row r="20" spans="1:8" s="221" customFormat="1" ht="28.5" customHeight="1" thickBot="1" x14ac:dyDescent="0.3">
      <c r="A20" s="1368" t="s">
        <v>250</v>
      </c>
      <c r="B20" s="1369"/>
      <c r="C20" s="793">
        <f>C10+C11+C12+C13+C14+C15+C16+C17+C18+C19</f>
        <v>32253060.079999998</v>
      </c>
      <c r="D20" s="793">
        <f>D10+D11+D12+D13+D14+D15+D16+D17+D18+D19</f>
        <v>4925717.59</v>
      </c>
      <c r="E20" s="793">
        <f>E10+E11+E12+E13+E14+E15+E16+E17+E18+E19</f>
        <v>37178777.670000002</v>
      </c>
      <c r="F20" s="793">
        <f>F10+F11+F12+F13+F14+F15+F16+F17+F18+F19</f>
        <v>36626099.670000002</v>
      </c>
      <c r="G20" s="793">
        <f>G10+G11+G12+G13+G14+G15+G16+G17+G18+G19</f>
        <v>36626099.670000002</v>
      </c>
      <c r="H20" s="793">
        <f t="shared" si="1"/>
        <v>4373039.5900000036</v>
      </c>
    </row>
    <row r="21" spans="1:8" ht="22.5" customHeight="1" thickBot="1" x14ac:dyDescent="0.3">
      <c r="A21" s="198"/>
      <c r="B21" s="198"/>
      <c r="C21" s="199"/>
      <c r="D21" s="199"/>
      <c r="E21" s="199"/>
      <c r="F21" s="200"/>
      <c r="G21" s="772" t="s">
        <v>962</v>
      </c>
      <c r="H21" s="773">
        <f>IF(($G$20-$C$20)&lt;=0,"",$G$20-$C$20)</f>
        <v>4373039.5900000036</v>
      </c>
    </row>
    <row r="22" spans="1:8" ht="10.5" customHeight="1" thickBot="1" x14ac:dyDescent="0.3">
      <c r="A22" s="201"/>
      <c r="B22" s="201"/>
      <c r="C22" s="202"/>
      <c r="D22" s="202"/>
      <c r="E22" s="202"/>
      <c r="F22" s="203"/>
      <c r="G22" s="204"/>
      <c r="H22" s="200"/>
    </row>
    <row r="23" spans="1:8" s="191" customFormat="1" ht="17.25" thickBot="1" x14ac:dyDescent="0.3">
      <c r="A23" s="1356" t="s">
        <v>963</v>
      </c>
      <c r="B23" s="1357"/>
      <c r="C23" s="1351" t="s">
        <v>394</v>
      </c>
      <c r="D23" s="1352"/>
      <c r="E23" s="1352"/>
      <c r="F23" s="1352"/>
      <c r="G23" s="1353"/>
      <c r="H23" s="784"/>
    </row>
    <row r="24" spans="1:8" s="191" customFormat="1" ht="39" thickBot="1" x14ac:dyDescent="0.3">
      <c r="A24" s="1358"/>
      <c r="B24" s="1359"/>
      <c r="C24" s="926" t="s">
        <v>958</v>
      </c>
      <c r="D24" s="926" t="s">
        <v>375</v>
      </c>
      <c r="E24" s="926" t="s">
        <v>398</v>
      </c>
      <c r="F24" s="927" t="s">
        <v>731</v>
      </c>
      <c r="G24" s="927" t="s">
        <v>959</v>
      </c>
      <c r="H24" s="928" t="s">
        <v>376</v>
      </c>
    </row>
    <row r="25" spans="1:8" s="191" customFormat="1" ht="17.25" thickBot="1" x14ac:dyDescent="0.3">
      <c r="A25" s="1360"/>
      <c r="B25" s="1361"/>
      <c r="C25" s="205" t="s">
        <v>377</v>
      </c>
      <c r="D25" s="205" t="s">
        <v>378</v>
      </c>
      <c r="E25" s="205" t="s">
        <v>379</v>
      </c>
      <c r="F25" s="785" t="s">
        <v>380</v>
      </c>
      <c r="G25" s="785" t="s">
        <v>381</v>
      </c>
      <c r="H25" s="205" t="s">
        <v>382</v>
      </c>
    </row>
    <row r="26" spans="1:8" s="206" customFormat="1" ht="48" customHeight="1" x14ac:dyDescent="0.25">
      <c r="A26" s="1344" t="s">
        <v>964</v>
      </c>
      <c r="B26" s="1345"/>
      <c r="C26" s="451">
        <f t="shared" ref="C26:H26" si="2">SUM(C27,C28,C29,C30,C31,C32,C33,C34)</f>
        <v>0</v>
      </c>
      <c r="D26" s="451">
        <f t="shared" si="2"/>
        <v>0</v>
      </c>
      <c r="E26" s="451">
        <f t="shared" si="2"/>
        <v>0</v>
      </c>
      <c r="F26" s="451">
        <f t="shared" si="2"/>
        <v>0</v>
      </c>
      <c r="G26" s="451">
        <f t="shared" si="2"/>
        <v>0</v>
      </c>
      <c r="H26" s="451">
        <f t="shared" si="2"/>
        <v>0</v>
      </c>
    </row>
    <row r="27" spans="1:8" s="206" customFormat="1" ht="17.100000000000001" customHeight="1" x14ac:dyDescent="0.25">
      <c r="A27" s="207" t="s">
        <v>387</v>
      </c>
      <c r="B27" s="208"/>
      <c r="C27" s="452">
        <v>0</v>
      </c>
      <c r="D27" s="452">
        <v>0</v>
      </c>
      <c r="E27" s="453">
        <f>C27+D27</f>
        <v>0</v>
      </c>
      <c r="F27" s="452">
        <v>0</v>
      </c>
      <c r="G27" s="452">
        <v>0</v>
      </c>
      <c r="H27" s="454">
        <f>G27-C27</f>
        <v>0</v>
      </c>
    </row>
    <row r="28" spans="1:8" s="206" customFormat="1" ht="17.100000000000001" customHeight="1" x14ac:dyDescent="0.25">
      <c r="A28" s="207"/>
      <c r="B28" s="212" t="s">
        <v>200</v>
      </c>
      <c r="C28" s="452"/>
      <c r="D28" s="452"/>
      <c r="E28" s="453"/>
      <c r="F28" s="452"/>
      <c r="G28" s="452"/>
      <c r="H28" s="454"/>
    </row>
    <row r="29" spans="1:8" s="206" customFormat="1" ht="17.100000000000001" customHeight="1" x14ac:dyDescent="0.25">
      <c r="A29" s="207" t="s">
        <v>383</v>
      </c>
      <c r="B29" s="208"/>
      <c r="C29" s="452"/>
      <c r="D29" s="452"/>
      <c r="E29" s="453">
        <f t="shared" ref="E29:E43" si="3">C29+D29</f>
        <v>0</v>
      </c>
      <c r="F29" s="452"/>
      <c r="G29" s="452"/>
      <c r="H29" s="454">
        <f t="shared" ref="H29:H43" si="4">G29-C29</f>
        <v>0</v>
      </c>
    </row>
    <row r="30" spans="1:8" s="206" customFormat="1" x14ac:dyDescent="0.25">
      <c r="A30" s="1346" t="s">
        <v>202</v>
      </c>
      <c r="B30" s="1347"/>
      <c r="C30" s="452"/>
      <c r="D30" s="452"/>
      <c r="E30" s="453">
        <f t="shared" si="3"/>
        <v>0</v>
      </c>
      <c r="F30" s="452"/>
      <c r="G30" s="452"/>
      <c r="H30" s="454">
        <f t="shared" si="4"/>
        <v>0</v>
      </c>
    </row>
    <row r="31" spans="1:8" s="206" customFormat="1" ht="17.100000000000001" customHeight="1" x14ac:dyDescent="0.25">
      <c r="A31" s="1346" t="s">
        <v>976</v>
      </c>
      <c r="B31" s="1347"/>
      <c r="C31" s="452"/>
      <c r="D31" s="452"/>
      <c r="E31" s="453">
        <f t="shared" si="3"/>
        <v>0</v>
      </c>
      <c r="F31" s="452"/>
      <c r="G31" s="452"/>
      <c r="H31" s="454">
        <f t="shared" si="4"/>
        <v>0</v>
      </c>
    </row>
    <row r="32" spans="1:8" ht="17.100000000000001" customHeight="1" x14ac:dyDescent="0.25">
      <c r="A32" s="1346" t="s">
        <v>977</v>
      </c>
      <c r="B32" s="1347" t="s">
        <v>388</v>
      </c>
      <c r="C32" s="455"/>
      <c r="D32" s="455"/>
      <c r="E32" s="453">
        <f t="shared" si="3"/>
        <v>0</v>
      </c>
      <c r="F32" s="455"/>
      <c r="G32" s="455"/>
      <c r="H32" s="454">
        <f t="shared" si="4"/>
        <v>0</v>
      </c>
    </row>
    <row r="33" spans="1:8" s="206" customFormat="1" ht="51" customHeight="1" x14ac:dyDescent="0.25">
      <c r="A33" s="929"/>
      <c r="B33" s="930" t="s">
        <v>961</v>
      </c>
      <c r="C33" s="452"/>
      <c r="D33" s="452"/>
      <c r="E33" s="453">
        <f t="shared" si="3"/>
        <v>0</v>
      </c>
      <c r="F33" s="452"/>
      <c r="G33" s="452"/>
      <c r="H33" s="454">
        <f t="shared" si="4"/>
        <v>0</v>
      </c>
    </row>
    <row r="34" spans="1:8" s="206" customFormat="1" ht="27.75" customHeight="1" x14ac:dyDescent="0.25">
      <c r="A34" s="1346" t="s">
        <v>965</v>
      </c>
      <c r="B34" s="1347"/>
      <c r="C34" s="452"/>
      <c r="D34" s="452"/>
      <c r="E34" s="453">
        <f t="shared" si="3"/>
        <v>0</v>
      </c>
      <c r="F34" s="452"/>
      <c r="G34" s="452"/>
      <c r="H34" s="454">
        <f t="shared" si="4"/>
        <v>0</v>
      </c>
    </row>
    <row r="35" spans="1:8" s="206" customFormat="1" ht="8.25" customHeight="1" x14ac:dyDescent="0.25">
      <c r="A35" s="209"/>
      <c r="B35" s="210"/>
      <c r="C35" s="452"/>
      <c r="D35" s="452"/>
      <c r="E35" s="453"/>
      <c r="F35" s="452"/>
      <c r="G35" s="452"/>
      <c r="H35" s="454"/>
    </row>
    <row r="36" spans="1:8" s="206" customFormat="1" ht="66.75" customHeight="1" x14ac:dyDescent="0.25">
      <c r="A36" s="1354" t="s">
        <v>966</v>
      </c>
      <c r="B36" s="1355"/>
      <c r="C36" s="451">
        <f t="shared" ref="C36:H36" si="5">SUM(C37:C40)</f>
        <v>32253060.079999998</v>
      </c>
      <c r="D36" s="451">
        <f t="shared" si="5"/>
        <v>4925717.59</v>
      </c>
      <c r="E36" s="451">
        <f t="shared" si="5"/>
        <v>37178777.670000002</v>
      </c>
      <c r="F36" s="451">
        <f t="shared" si="5"/>
        <v>36626099.670000002</v>
      </c>
      <c r="G36" s="451">
        <f t="shared" si="5"/>
        <v>36626099.670000002</v>
      </c>
      <c r="H36" s="451">
        <f t="shared" si="5"/>
        <v>4373039.5900000036</v>
      </c>
    </row>
    <row r="37" spans="1:8" s="206" customFormat="1" ht="17.100000000000001" customHeight="1" x14ac:dyDescent="0.25">
      <c r="A37" s="211"/>
      <c r="B37" s="212" t="s">
        <v>200</v>
      </c>
      <c r="C37" s="452">
        <v>0</v>
      </c>
      <c r="D37" s="452"/>
      <c r="E37" s="453">
        <f t="shared" si="3"/>
        <v>0</v>
      </c>
      <c r="F37" s="452"/>
      <c r="G37" s="452"/>
      <c r="H37" s="454">
        <f t="shared" si="4"/>
        <v>0</v>
      </c>
    </row>
    <row r="38" spans="1:8" s="206" customFormat="1" ht="17.100000000000001" customHeight="1" x14ac:dyDescent="0.25">
      <c r="A38" s="211"/>
      <c r="B38" s="212" t="s">
        <v>976</v>
      </c>
      <c r="C38" s="452">
        <v>0</v>
      </c>
      <c r="D38" s="452"/>
      <c r="E38" s="453"/>
      <c r="F38" s="452"/>
      <c r="G38" s="452"/>
      <c r="H38" s="454"/>
    </row>
    <row r="39" spans="1:8" s="206" customFormat="1" ht="30.75" customHeight="1" x14ac:dyDescent="0.25">
      <c r="A39" s="211"/>
      <c r="B39" s="931" t="s">
        <v>978</v>
      </c>
      <c r="C39" s="452">
        <f>C16</f>
        <v>900000</v>
      </c>
      <c r="D39" s="452">
        <f>D16</f>
        <v>2087115.89</v>
      </c>
      <c r="E39" s="452">
        <f>E16</f>
        <v>2987115.8899999997</v>
      </c>
      <c r="F39" s="452">
        <f>F16</f>
        <v>2987115.89</v>
      </c>
      <c r="G39" s="452">
        <f>G16</f>
        <v>2987115.89</v>
      </c>
      <c r="H39" s="454">
        <f t="shared" si="4"/>
        <v>2087115.8900000001</v>
      </c>
    </row>
    <row r="40" spans="1:8" s="206" customFormat="1" ht="29.25" customHeight="1" x14ac:dyDescent="0.25">
      <c r="A40" s="211"/>
      <c r="B40" s="213" t="s">
        <v>965</v>
      </c>
      <c r="C40" s="452">
        <f>C18</f>
        <v>31353060.079999998</v>
      </c>
      <c r="D40" s="452">
        <f>D18</f>
        <v>2838601.7</v>
      </c>
      <c r="E40" s="452">
        <f>E18</f>
        <v>34191661.780000001</v>
      </c>
      <c r="F40" s="452">
        <f>F18</f>
        <v>33638983.780000001</v>
      </c>
      <c r="G40" s="452">
        <f>G18</f>
        <v>33638983.780000001</v>
      </c>
      <c r="H40" s="454">
        <f t="shared" si="4"/>
        <v>2285923.700000003</v>
      </c>
    </row>
    <row r="41" spans="1:8" s="206" customFormat="1" ht="6" customHeight="1" x14ac:dyDescent="0.25">
      <c r="A41" s="211"/>
      <c r="B41" s="212"/>
      <c r="C41" s="452"/>
      <c r="D41" s="452"/>
      <c r="E41" s="453"/>
      <c r="F41" s="452"/>
      <c r="G41" s="452"/>
      <c r="H41" s="454"/>
    </row>
    <row r="42" spans="1:8" s="206" customFormat="1" ht="17.100000000000001" customHeight="1" x14ac:dyDescent="0.25">
      <c r="A42" s="209" t="s">
        <v>390</v>
      </c>
      <c r="B42" s="210"/>
      <c r="C42" s="451">
        <f t="shared" ref="C42:H42" si="6">C43</f>
        <v>0</v>
      </c>
      <c r="D42" s="451">
        <f t="shared" si="6"/>
        <v>0</v>
      </c>
      <c r="E42" s="451">
        <f t="shared" si="6"/>
        <v>0</v>
      </c>
      <c r="F42" s="451">
        <f t="shared" si="6"/>
        <v>0</v>
      </c>
      <c r="G42" s="451">
        <f t="shared" si="6"/>
        <v>0</v>
      </c>
      <c r="H42" s="451">
        <f t="shared" si="6"/>
        <v>0</v>
      </c>
    </row>
    <row r="43" spans="1:8" s="206" customFormat="1" ht="17.100000000000001" customHeight="1" x14ac:dyDescent="0.25">
      <c r="A43" s="209"/>
      <c r="B43" s="214" t="s">
        <v>386</v>
      </c>
      <c r="C43" s="452">
        <v>0</v>
      </c>
      <c r="D43" s="452"/>
      <c r="E43" s="453">
        <f t="shared" si="3"/>
        <v>0</v>
      </c>
      <c r="F43" s="452"/>
      <c r="G43" s="452"/>
      <c r="H43" s="454">
        <f t="shared" si="4"/>
        <v>0</v>
      </c>
    </row>
    <row r="44" spans="1:8" s="206" customFormat="1" ht="12.75" customHeight="1" thickBot="1" x14ac:dyDescent="0.3">
      <c r="A44" s="215"/>
      <c r="B44" s="216"/>
      <c r="C44" s="456"/>
      <c r="D44" s="456"/>
      <c r="E44" s="457"/>
      <c r="F44" s="456"/>
      <c r="G44" s="456"/>
      <c r="H44" s="458"/>
    </row>
    <row r="45" spans="1:8" ht="21.75" customHeight="1" thickBot="1" x14ac:dyDescent="0.3">
      <c r="A45" s="1349" t="s">
        <v>250</v>
      </c>
      <c r="B45" s="1350"/>
      <c r="C45" s="771">
        <f t="shared" ref="C45:H45" si="7">C26+C36+C42</f>
        <v>32253060.079999998</v>
      </c>
      <c r="D45" s="771">
        <f t="shared" si="7"/>
        <v>4925717.59</v>
      </c>
      <c r="E45" s="771">
        <f t="shared" si="7"/>
        <v>37178777.670000002</v>
      </c>
      <c r="F45" s="771">
        <f t="shared" si="7"/>
        <v>36626099.670000002</v>
      </c>
      <c r="G45" s="771">
        <f t="shared" si="7"/>
        <v>36626099.670000002</v>
      </c>
      <c r="H45" s="771">
        <f t="shared" si="7"/>
        <v>4373039.5900000036</v>
      </c>
    </row>
    <row r="46" spans="1:8" ht="23.25" customHeight="1" thickBot="1" x14ac:dyDescent="0.3">
      <c r="A46" s="198"/>
      <c r="B46" s="198"/>
      <c r="C46" s="217"/>
      <c r="D46" s="217"/>
      <c r="E46" s="217"/>
      <c r="F46" s="218"/>
      <c r="G46" s="774" t="s">
        <v>962</v>
      </c>
      <c r="H46" s="775">
        <f>IF(($G$45-$C$45)&lt;=0,"",$G$45-$C$45)</f>
        <v>4373039.5900000036</v>
      </c>
    </row>
    <row r="47" spans="1:8" ht="23.25" customHeight="1" x14ac:dyDescent="0.25">
      <c r="A47" s="201"/>
      <c r="B47" s="201"/>
      <c r="C47" s="550"/>
      <c r="D47" s="550"/>
      <c r="E47" s="550"/>
      <c r="F47" s="551"/>
      <c r="G47" s="552"/>
      <c r="H47" s="552"/>
    </row>
    <row r="48" spans="1:8" ht="23.25" customHeight="1" x14ac:dyDescent="0.25">
      <c r="A48" s="201"/>
      <c r="B48" s="201"/>
      <c r="C48" s="550"/>
      <c r="D48" s="550"/>
      <c r="E48" s="550"/>
      <c r="F48" s="551"/>
      <c r="G48" s="552"/>
      <c r="H48" s="552"/>
    </row>
    <row r="49" spans="1:8" ht="23.25" customHeight="1" x14ac:dyDescent="0.25">
      <c r="A49" s="201"/>
      <c r="B49" s="201"/>
      <c r="C49" s="550"/>
      <c r="D49" s="550"/>
      <c r="E49" s="550"/>
      <c r="F49" s="551"/>
      <c r="G49" s="552"/>
      <c r="H49" s="552"/>
    </row>
    <row r="50" spans="1:8" s="938" customFormat="1" ht="15.75" customHeight="1" x14ac:dyDescent="0.25">
      <c r="A50" s="934"/>
      <c r="B50" s="935" t="s">
        <v>985</v>
      </c>
      <c r="C50" s="936"/>
      <c r="D50" s="936"/>
      <c r="E50" s="936"/>
      <c r="F50" s="936"/>
      <c r="G50" s="937"/>
      <c r="H50" s="937"/>
    </row>
    <row r="51" spans="1:8" s="938" customFormat="1" ht="12.75" customHeight="1" x14ac:dyDescent="0.25">
      <c r="A51" s="934"/>
      <c r="B51" s="935" t="s">
        <v>986</v>
      </c>
      <c r="C51" s="936"/>
      <c r="D51" s="936"/>
      <c r="E51" s="936"/>
      <c r="F51" s="936"/>
      <c r="G51" s="937"/>
      <c r="H51" s="937"/>
    </row>
    <row r="52" spans="1:8" s="938" customFormat="1" ht="26.25" customHeight="1" x14ac:dyDescent="0.25">
      <c r="A52" s="934"/>
      <c r="B52" s="1348" t="s">
        <v>987</v>
      </c>
      <c r="C52" s="1348"/>
      <c r="D52" s="1348"/>
      <c r="E52" s="1348"/>
      <c r="F52" s="1348"/>
      <c r="G52" s="1348"/>
      <c r="H52" s="1348"/>
    </row>
    <row r="53" spans="1:8" ht="23.25" customHeight="1" x14ac:dyDescent="0.25">
      <c r="A53" s="201"/>
      <c r="B53" s="201"/>
      <c r="C53" s="550"/>
      <c r="D53" s="550"/>
      <c r="E53" s="550"/>
      <c r="F53" s="551"/>
      <c r="G53" s="552"/>
      <c r="H53" s="552"/>
    </row>
    <row r="54" spans="1:8" ht="8.25" customHeight="1" x14ac:dyDescent="0.25">
      <c r="A54" s="219"/>
      <c r="B54" s="110"/>
    </row>
    <row r="55" spans="1:8" x14ac:dyDescent="0.25">
      <c r="A55" s="222"/>
      <c r="B55" s="110"/>
      <c r="H55" s="415"/>
    </row>
    <row r="56" spans="1:8" x14ac:dyDescent="0.25">
      <c r="A56" s="223"/>
      <c r="B56" s="224" t="s">
        <v>391</v>
      </c>
      <c r="C56" s="225"/>
      <c r="D56" s="225"/>
      <c r="E56" s="225"/>
      <c r="F56" s="225"/>
      <c r="G56" s="225"/>
      <c r="H56" s="225"/>
    </row>
    <row r="57" spans="1:8" x14ac:dyDescent="0.25">
      <c r="A57" s="223"/>
      <c r="B57" s="224" t="s">
        <v>392</v>
      </c>
      <c r="C57" s="225"/>
      <c r="D57" s="225"/>
      <c r="E57" s="225"/>
      <c r="F57" s="225"/>
      <c r="G57" s="225"/>
      <c r="H57" s="225"/>
    </row>
    <row r="58" spans="1:8" x14ac:dyDescent="0.25">
      <c r="A58" s="223"/>
      <c r="B58" s="224"/>
      <c r="C58" s="225"/>
      <c r="D58" s="225"/>
      <c r="E58" s="225"/>
      <c r="F58" s="225"/>
      <c r="G58" s="225"/>
      <c r="H58" s="225"/>
    </row>
  </sheetData>
  <sheetProtection formatColumns="0" formatRows="0" insertHyperlinks="0"/>
  <mergeCells count="18">
    <mergeCell ref="A34:B34"/>
    <mergeCell ref="C23:G23"/>
    <mergeCell ref="A26:B26"/>
    <mergeCell ref="A31:B31"/>
    <mergeCell ref="B52:H52"/>
    <mergeCell ref="A45:B45"/>
    <mergeCell ref="A1:H1"/>
    <mergeCell ref="A2:H2"/>
    <mergeCell ref="A3:H3"/>
    <mergeCell ref="A4:H4"/>
    <mergeCell ref="C5:F5"/>
    <mergeCell ref="C6:G6"/>
    <mergeCell ref="A36:B36"/>
    <mergeCell ref="A23:B25"/>
    <mergeCell ref="A6:B8"/>
    <mergeCell ref="A20:B20"/>
    <mergeCell ref="A30:B30"/>
    <mergeCell ref="A32:B32"/>
  </mergeCells>
  <printOptions horizontalCentered="1"/>
  <pageMargins left="0.39370078740157483" right="0.39370078740157483" top="0.39370078740157483" bottom="0.51181102362204722" header="0.31496062992125984" footer="0.31496062992125984"/>
  <pageSetup fitToWidth="0" orientation="landscape" r:id="rId1"/>
  <rowBreaks count="1" manualBreakCount="1">
    <brk id="22" max="7" man="1"/>
  </row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1"/>
  <sheetViews>
    <sheetView view="pageBreakPreview" zoomScale="130" zoomScaleNormal="120" zoomScaleSheetLayoutView="130" workbookViewId="0">
      <selection activeCell="A9" sqref="A9:C9"/>
    </sheetView>
  </sheetViews>
  <sheetFormatPr baseColWidth="10" defaultColWidth="11.42578125" defaultRowHeight="15" x14ac:dyDescent="0.25"/>
  <cols>
    <col min="1" max="1" width="1.85546875" customWidth="1"/>
    <col min="2" max="2" width="0.85546875" customWidth="1"/>
    <col min="3" max="3" width="48.28515625" customWidth="1"/>
    <col min="4" max="4" width="12.28515625" bestFit="1" customWidth="1"/>
    <col min="5" max="5" width="12.85546875" customWidth="1"/>
  </cols>
  <sheetData>
    <row r="1" spans="1:9" ht="15.75" x14ac:dyDescent="0.25">
      <c r="A1" s="1208" t="str">
        <f>'CPCA-I-01'!A1:G1</f>
        <v>RADIO SONORA</v>
      </c>
      <c r="B1" s="1208"/>
      <c r="C1" s="1208"/>
      <c r="D1" s="1208"/>
      <c r="E1" s="1208"/>
      <c r="F1" s="1208"/>
      <c r="G1" s="1208"/>
      <c r="H1" s="1208"/>
      <c r="I1" s="1208"/>
    </row>
    <row r="2" spans="1:9" ht="15.75" customHeight="1" x14ac:dyDescent="0.25">
      <c r="A2" s="1208" t="s">
        <v>393</v>
      </c>
      <c r="B2" s="1208"/>
      <c r="C2" s="1208"/>
      <c r="D2" s="1208"/>
      <c r="E2" s="1208"/>
      <c r="F2" s="1208"/>
      <c r="G2" s="1208"/>
      <c r="H2" s="1208"/>
      <c r="I2" s="1208"/>
    </row>
    <row r="3" spans="1:9" ht="16.5" customHeight="1" x14ac:dyDescent="0.25">
      <c r="A3" s="1208"/>
      <c r="B3" s="1208"/>
      <c r="C3" s="1208"/>
      <c r="D3" s="1208"/>
      <c r="E3" s="1208"/>
      <c r="F3" s="1208"/>
      <c r="G3" s="1208"/>
      <c r="H3" s="1208"/>
      <c r="I3" s="1208"/>
    </row>
    <row r="4" spans="1:9" ht="15.75" customHeight="1" x14ac:dyDescent="0.25">
      <c r="A4" s="1370" t="str">
        <f>'CPCA-I-10'!A4:K4</f>
        <v>Del 01 de ENERO al 31 de DICIEMBRE de 2024</v>
      </c>
      <c r="B4" s="1370"/>
      <c r="C4" s="1370"/>
      <c r="D4" s="1370"/>
      <c r="E4" s="1370"/>
      <c r="F4" s="1370"/>
      <c r="G4" s="1370"/>
      <c r="H4" s="1370"/>
      <c r="I4" s="1370"/>
    </row>
    <row r="5" spans="1:9" ht="15.75" customHeight="1" thickBot="1" x14ac:dyDescent="0.3">
      <c r="A5" s="1255" t="s">
        <v>84</v>
      </c>
      <c r="B5" s="1255"/>
      <c r="C5" s="1255"/>
      <c r="D5" s="1255"/>
      <c r="E5" s="1255"/>
      <c r="F5" s="1255"/>
      <c r="G5" s="1255"/>
      <c r="H5" s="1255"/>
      <c r="I5" s="1255"/>
    </row>
    <row r="6" spans="1:9" ht="15.75" thickBot="1" x14ac:dyDescent="0.3">
      <c r="A6" s="1371"/>
      <c r="B6" s="1372"/>
      <c r="C6" s="1373"/>
      <c r="D6" s="1374" t="s">
        <v>394</v>
      </c>
      <c r="E6" s="1375"/>
      <c r="F6" s="1375"/>
      <c r="G6" s="1375"/>
      <c r="H6" s="1376"/>
      <c r="I6" s="1377" t="s">
        <v>395</v>
      </c>
    </row>
    <row r="7" spans="1:9" x14ac:dyDescent="0.25">
      <c r="A7" s="1380" t="s">
        <v>247</v>
      </c>
      <c r="B7" s="1381"/>
      <c r="C7" s="1382"/>
      <c r="D7" s="1377" t="s">
        <v>396</v>
      </c>
      <c r="E7" s="1386" t="s">
        <v>397</v>
      </c>
      <c r="F7" s="1377" t="s">
        <v>398</v>
      </c>
      <c r="G7" s="1377" t="s">
        <v>399</v>
      </c>
      <c r="H7" s="1377" t="s">
        <v>400</v>
      </c>
      <c r="I7" s="1378"/>
    </row>
    <row r="8" spans="1:9" ht="15.75" thickBot="1" x14ac:dyDescent="0.3">
      <c r="A8" s="1383" t="s">
        <v>401</v>
      </c>
      <c r="B8" s="1384"/>
      <c r="C8" s="1385"/>
      <c r="D8" s="1379"/>
      <c r="E8" s="1387"/>
      <c r="F8" s="1379"/>
      <c r="G8" s="1379"/>
      <c r="H8" s="1379"/>
      <c r="I8" s="1379"/>
    </row>
    <row r="9" spans="1:9" x14ac:dyDescent="0.25">
      <c r="A9" s="1388"/>
      <c r="B9" s="1389"/>
      <c r="C9" s="1390"/>
      <c r="D9" s="732"/>
      <c r="E9" s="732"/>
      <c r="F9" s="732"/>
      <c r="G9" s="732"/>
      <c r="H9" s="732"/>
      <c r="I9" s="732"/>
    </row>
    <row r="10" spans="1:9" x14ac:dyDescent="0.25">
      <c r="A10" s="1394" t="s">
        <v>402</v>
      </c>
      <c r="B10" s="1395"/>
      <c r="C10" s="1396"/>
      <c r="D10" s="633"/>
      <c r="E10" s="633"/>
      <c r="F10" s="633"/>
      <c r="G10" s="633"/>
      <c r="H10" s="633"/>
      <c r="I10" s="633"/>
    </row>
    <row r="11" spans="1:9" x14ac:dyDescent="0.25">
      <c r="A11" s="747"/>
      <c r="B11" s="1391" t="s">
        <v>403</v>
      </c>
      <c r="C11" s="1392"/>
      <c r="D11" s="635">
        <v>0</v>
      </c>
      <c r="E11" s="635">
        <v>0</v>
      </c>
      <c r="F11" s="635">
        <f t="shared" ref="F11:F16" si="0">+D11+E11</f>
        <v>0</v>
      </c>
      <c r="G11" s="635">
        <v>0</v>
      </c>
      <c r="H11" s="635">
        <v>0</v>
      </c>
      <c r="I11" s="634">
        <f>+H11-D11</f>
        <v>0</v>
      </c>
    </row>
    <row r="12" spans="1:9" x14ac:dyDescent="0.25">
      <c r="A12" s="747"/>
      <c r="B12" s="1391" t="s">
        <v>404</v>
      </c>
      <c r="C12" s="1392"/>
      <c r="D12" s="635">
        <v>0</v>
      </c>
      <c r="E12" s="635">
        <v>0</v>
      </c>
      <c r="F12" s="635">
        <f t="shared" si="0"/>
        <v>0</v>
      </c>
      <c r="G12" s="635">
        <v>0</v>
      </c>
      <c r="H12" s="635">
        <v>0</v>
      </c>
      <c r="I12" s="634">
        <f t="shared" ref="I12:I17" si="1">+H12-D12</f>
        <v>0</v>
      </c>
    </row>
    <row r="13" spans="1:9" x14ac:dyDescent="0.25">
      <c r="A13" s="747"/>
      <c r="B13" s="1391" t="s">
        <v>405</v>
      </c>
      <c r="C13" s="1392"/>
      <c r="D13" s="635">
        <v>0</v>
      </c>
      <c r="E13" s="635">
        <v>0</v>
      </c>
      <c r="F13" s="635">
        <f t="shared" si="0"/>
        <v>0</v>
      </c>
      <c r="G13" s="635">
        <v>0</v>
      </c>
      <c r="H13" s="635">
        <v>0</v>
      </c>
      <c r="I13" s="634">
        <f t="shared" si="1"/>
        <v>0</v>
      </c>
    </row>
    <row r="14" spans="1:9" x14ac:dyDescent="0.25">
      <c r="A14" s="747"/>
      <c r="B14" s="1391" t="s">
        <v>406</v>
      </c>
      <c r="C14" s="1392"/>
      <c r="D14" s="635">
        <v>0</v>
      </c>
      <c r="E14" s="635">
        <v>0</v>
      </c>
      <c r="F14" s="635">
        <f t="shared" si="0"/>
        <v>0</v>
      </c>
      <c r="G14" s="635">
        <v>0</v>
      </c>
      <c r="H14" s="635">
        <v>0</v>
      </c>
      <c r="I14" s="634">
        <f t="shared" si="1"/>
        <v>0</v>
      </c>
    </row>
    <row r="15" spans="1:9" x14ac:dyDescent="0.25">
      <c r="A15" s="747"/>
      <c r="B15" s="1391" t="s">
        <v>407</v>
      </c>
      <c r="C15" s="1392"/>
      <c r="D15" s="635">
        <v>0</v>
      </c>
      <c r="E15" s="635">
        <v>0</v>
      </c>
      <c r="F15" s="635">
        <f t="shared" si="0"/>
        <v>0</v>
      </c>
      <c r="G15" s="635">
        <v>0</v>
      </c>
      <c r="H15" s="635">
        <v>0</v>
      </c>
      <c r="I15" s="634">
        <f t="shared" si="1"/>
        <v>0</v>
      </c>
    </row>
    <row r="16" spans="1:9" x14ac:dyDescent="0.25">
      <c r="A16" s="747"/>
      <c r="B16" s="1391" t="s">
        <v>408</v>
      </c>
      <c r="C16" s="1392"/>
      <c r="D16" s="635">
        <v>0</v>
      </c>
      <c r="E16" s="635">
        <v>0</v>
      </c>
      <c r="F16" s="635">
        <f t="shared" si="0"/>
        <v>0</v>
      </c>
      <c r="G16" s="635">
        <v>0</v>
      </c>
      <c r="H16" s="635"/>
      <c r="I16" s="634">
        <f t="shared" si="1"/>
        <v>0</v>
      </c>
    </row>
    <row r="17" spans="1:9" x14ac:dyDescent="0.25">
      <c r="A17" s="747"/>
      <c r="B17" s="1391" t="s">
        <v>967</v>
      </c>
      <c r="C17" s="1392"/>
      <c r="D17" s="635">
        <f>'CPCA-II-01'!C16</f>
        <v>900000</v>
      </c>
      <c r="E17" s="635">
        <f>'CPCA-II-01'!D16</f>
        <v>2087115.89</v>
      </c>
      <c r="F17" s="635">
        <f>'CPCA-II-01'!E16</f>
        <v>2987115.8899999997</v>
      </c>
      <c r="G17" s="635">
        <f>'CPCA-II-01'!F16</f>
        <v>2987115.89</v>
      </c>
      <c r="H17" s="635">
        <f>'CPCA-II-01'!G16</f>
        <v>2987115.89</v>
      </c>
      <c r="I17" s="634">
        <f t="shared" si="1"/>
        <v>2087115.8900000001</v>
      </c>
    </row>
    <row r="18" spans="1:9" x14ac:dyDescent="0.25">
      <c r="A18" s="1393"/>
      <c r="B18" s="1391" t="s">
        <v>409</v>
      </c>
      <c r="C18" s="1392"/>
      <c r="D18" s="1400">
        <f t="shared" ref="D18:I18" si="2">SUM(D20:D30)</f>
        <v>0</v>
      </c>
      <c r="E18" s="1400">
        <f t="shared" si="2"/>
        <v>0</v>
      </c>
      <c r="F18" s="1400">
        <f t="shared" si="2"/>
        <v>0</v>
      </c>
      <c r="G18" s="1400">
        <f t="shared" si="2"/>
        <v>0</v>
      </c>
      <c r="H18" s="1400">
        <f t="shared" si="2"/>
        <v>0</v>
      </c>
      <c r="I18" s="1400">
        <f t="shared" si="2"/>
        <v>0</v>
      </c>
    </row>
    <row r="19" spans="1:9" x14ac:dyDescent="0.25">
      <c r="A19" s="1393"/>
      <c r="B19" s="1391" t="s">
        <v>410</v>
      </c>
      <c r="C19" s="1392"/>
      <c r="D19" s="1400"/>
      <c r="E19" s="1400"/>
      <c r="F19" s="1400"/>
      <c r="G19" s="1400"/>
      <c r="H19" s="1400"/>
      <c r="I19" s="1400"/>
    </row>
    <row r="20" spans="1:9" x14ac:dyDescent="0.25">
      <c r="A20" s="747"/>
      <c r="B20" s="745"/>
      <c r="C20" s="746" t="s">
        <v>411</v>
      </c>
      <c r="D20" s="635">
        <v>0</v>
      </c>
      <c r="E20" s="635">
        <v>0</v>
      </c>
      <c r="F20" s="635">
        <f t="shared" ref="F20:F30" si="3">+D20+E20</f>
        <v>0</v>
      </c>
      <c r="G20" s="635">
        <v>0</v>
      </c>
      <c r="H20" s="635">
        <v>0</v>
      </c>
      <c r="I20" s="634">
        <f>+H20-D20</f>
        <v>0</v>
      </c>
    </row>
    <row r="21" spans="1:9" x14ac:dyDescent="0.25">
      <c r="A21" s="747"/>
      <c r="B21" s="745"/>
      <c r="C21" s="746" t="s">
        <v>412</v>
      </c>
      <c r="D21" s="635">
        <v>0</v>
      </c>
      <c r="E21" s="635">
        <v>0</v>
      </c>
      <c r="F21" s="635">
        <f t="shared" si="3"/>
        <v>0</v>
      </c>
      <c r="G21" s="635">
        <v>0</v>
      </c>
      <c r="H21" s="635">
        <v>0</v>
      </c>
      <c r="I21" s="634">
        <f t="shared" ref="I21:I37" si="4">+H21-D21</f>
        <v>0</v>
      </c>
    </row>
    <row r="22" spans="1:9" x14ac:dyDescent="0.25">
      <c r="A22" s="747"/>
      <c r="B22" s="745"/>
      <c r="C22" s="746" t="s">
        <v>413</v>
      </c>
      <c r="D22" s="635">
        <v>0</v>
      </c>
      <c r="E22" s="635">
        <v>0</v>
      </c>
      <c r="F22" s="635">
        <f t="shared" si="3"/>
        <v>0</v>
      </c>
      <c r="G22" s="635">
        <v>0</v>
      </c>
      <c r="H22" s="635">
        <v>0</v>
      </c>
      <c r="I22" s="634">
        <f t="shared" si="4"/>
        <v>0</v>
      </c>
    </row>
    <row r="23" spans="1:9" x14ac:dyDescent="0.25">
      <c r="A23" s="747"/>
      <c r="B23" s="745"/>
      <c r="C23" s="746" t="s">
        <v>414</v>
      </c>
      <c r="D23" s="635">
        <v>0</v>
      </c>
      <c r="E23" s="635">
        <v>0</v>
      </c>
      <c r="F23" s="635">
        <f t="shared" si="3"/>
        <v>0</v>
      </c>
      <c r="G23" s="635">
        <v>0</v>
      </c>
      <c r="H23" s="635">
        <v>0</v>
      </c>
      <c r="I23" s="634">
        <f t="shared" si="4"/>
        <v>0</v>
      </c>
    </row>
    <row r="24" spans="1:9" x14ac:dyDescent="0.25">
      <c r="A24" s="747"/>
      <c r="B24" s="745"/>
      <c r="C24" s="746" t="s">
        <v>415</v>
      </c>
      <c r="D24" s="635">
        <v>0</v>
      </c>
      <c r="E24" s="635">
        <v>0</v>
      </c>
      <c r="F24" s="635">
        <f t="shared" si="3"/>
        <v>0</v>
      </c>
      <c r="G24" s="635">
        <v>0</v>
      </c>
      <c r="H24" s="635">
        <v>0</v>
      </c>
      <c r="I24" s="634">
        <f t="shared" si="4"/>
        <v>0</v>
      </c>
    </row>
    <row r="25" spans="1:9" x14ac:dyDescent="0.25">
      <c r="A25" s="747"/>
      <c r="B25" s="745"/>
      <c r="C25" s="746" t="s">
        <v>416</v>
      </c>
      <c r="D25" s="635">
        <v>0</v>
      </c>
      <c r="E25" s="635">
        <v>0</v>
      </c>
      <c r="F25" s="635">
        <f t="shared" si="3"/>
        <v>0</v>
      </c>
      <c r="G25" s="635">
        <v>0</v>
      </c>
      <c r="H25" s="635">
        <v>0</v>
      </c>
      <c r="I25" s="634">
        <f t="shared" si="4"/>
        <v>0</v>
      </c>
    </row>
    <row r="26" spans="1:9" x14ac:dyDescent="0.25">
      <c r="A26" s="747"/>
      <c r="B26" s="745"/>
      <c r="C26" s="746" t="s">
        <v>417</v>
      </c>
      <c r="D26" s="635">
        <v>0</v>
      </c>
      <c r="E26" s="635">
        <v>0</v>
      </c>
      <c r="F26" s="635">
        <f t="shared" si="3"/>
        <v>0</v>
      </c>
      <c r="G26" s="635">
        <v>0</v>
      </c>
      <c r="H26" s="635">
        <v>0</v>
      </c>
      <c r="I26" s="634">
        <f t="shared" si="4"/>
        <v>0</v>
      </c>
    </row>
    <row r="27" spans="1:9" x14ac:dyDescent="0.25">
      <c r="A27" s="747"/>
      <c r="B27" s="745"/>
      <c r="C27" s="746" t="s">
        <v>418</v>
      </c>
      <c r="D27" s="635">
        <v>0</v>
      </c>
      <c r="E27" s="635">
        <v>0</v>
      </c>
      <c r="F27" s="635">
        <f t="shared" si="3"/>
        <v>0</v>
      </c>
      <c r="G27" s="635">
        <v>0</v>
      </c>
      <c r="H27" s="635">
        <v>0</v>
      </c>
      <c r="I27" s="634">
        <f t="shared" si="4"/>
        <v>0</v>
      </c>
    </row>
    <row r="28" spans="1:9" x14ac:dyDescent="0.25">
      <c r="A28" s="747"/>
      <c r="B28" s="745"/>
      <c r="C28" s="746" t="s">
        <v>419</v>
      </c>
      <c r="D28" s="635">
        <v>0</v>
      </c>
      <c r="E28" s="635">
        <v>0</v>
      </c>
      <c r="F28" s="635">
        <f t="shared" si="3"/>
        <v>0</v>
      </c>
      <c r="G28" s="635">
        <v>0</v>
      </c>
      <c r="H28" s="635">
        <v>0</v>
      </c>
      <c r="I28" s="634">
        <f t="shared" si="4"/>
        <v>0</v>
      </c>
    </row>
    <row r="29" spans="1:9" x14ac:dyDescent="0.25">
      <c r="A29" s="747"/>
      <c r="B29" s="745"/>
      <c r="C29" s="746" t="s">
        <v>420</v>
      </c>
      <c r="D29" s="635">
        <v>0</v>
      </c>
      <c r="E29" s="635">
        <v>0</v>
      </c>
      <c r="F29" s="635">
        <f t="shared" si="3"/>
        <v>0</v>
      </c>
      <c r="G29" s="635">
        <v>0</v>
      </c>
      <c r="H29" s="635">
        <v>0</v>
      </c>
      <c r="I29" s="634">
        <f t="shared" si="4"/>
        <v>0</v>
      </c>
    </row>
    <row r="30" spans="1:9" x14ac:dyDescent="0.25">
      <c r="A30" s="747"/>
      <c r="B30" s="745"/>
      <c r="C30" s="746" t="s">
        <v>421</v>
      </c>
      <c r="D30" s="635">
        <v>0</v>
      </c>
      <c r="E30" s="635">
        <v>0</v>
      </c>
      <c r="F30" s="635">
        <f t="shared" si="3"/>
        <v>0</v>
      </c>
      <c r="G30" s="635">
        <v>0</v>
      </c>
      <c r="H30" s="635">
        <v>0</v>
      </c>
      <c r="I30" s="634">
        <f t="shared" si="4"/>
        <v>0</v>
      </c>
    </row>
    <row r="31" spans="1:9" x14ac:dyDescent="0.25">
      <c r="A31" s="747"/>
      <c r="B31" s="1391" t="s">
        <v>422</v>
      </c>
      <c r="C31" s="1392"/>
      <c r="D31" s="634">
        <f t="shared" ref="D31:I31" si="5">SUM(D32:D36)</f>
        <v>0</v>
      </c>
      <c r="E31" s="634">
        <f t="shared" si="5"/>
        <v>0</v>
      </c>
      <c r="F31" s="634">
        <f t="shared" si="5"/>
        <v>0</v>
      </c>
      <c r="G31" s="634">
        <f t="shared" si="5"/>
        <v>0</v>
      </c>
      <c r="H31" s="634">
        <f t="shared" si="5"/>
        <v>0</v>
      </c>
      <c r="I31" s="634">
        <f t="shared" si="5"/>
        <v>0</v>
      </c>
    </row>
    <row r="32" spans="1:9" x14ac:dyDescent="0.25">
      <c r="A32" s="747"/>
      <c r="B32" s="745"/>
      <c r="C32" s="746" t="s">
        <v>423</v>
      </c>
      <c r="D32" s="635">
        <v>0</v>
      </c>
      <c r="E32" s="635">
        <v>0</v>
      </c>
      <c r="F32" s="635">
        <v>0</v>
      </c>
      <c r="G32" s="635"/>
      <c r="H32" s="635">
        <v>0</v>
      </c>
      <c r="I32" s="634">
        <f t="shared" si="4"/>
        <v>0</v>
      </c>
    </row>
    <row r="33" spans="1:9" x14ac:dyDescent="0.25">
      <c r="A33" s="747"/>
      <c r="B33" s="745"/>
      <c r="C33" s="746" t="s">
        <v>424</v>
      </c>
      <c r="D33" s="635">
        <v>0</v>
      </c>
      <c r="E33" s="635">
        <v>0</v>
      </c>
      <c r="F33" s="635">
        <f>+D33+E33</f>
        <v>0</v>
      </c>
      <c r="G33" s="635"/>
      <c r="H33" s="635">
        <v>0</v>
      </c>
      <c r="I33" s="634">
        <f t="shared" si="4"/>
        <v>0</v>
      </c>
    </row>
    <row r="34" spans="1:9" ht="15.75" thickBot="1" x14ac:dyDescent="0.3">
      <c r="A34" s="601"/>
      <c r="B34" s="683"/>
      <c r="C34" s="735" t="s">
        <v>425</v>
      </c>
      <c r="D34" s="636">
        <v>0</v>
      </c>
      <c r="E34" s="636">
        <v>0</v>
      </c>
      <c r="F34" s="636">
        <f>+D34+E34</f>
        <v>0</v>
      </c>
      <c r="G34" s="636"/>
      <c r="H34" s="636"/>
      <c r="I34" s="708">
        <f t="shared" si="4"/>
        <v>0</v>
      </c>
    </row>
    <row r="35" spans="1:9" x14ac:dyDescent="0.25">
      <c r="A35" s="747"/>
      <c r="B35" s="745"/>
      <c r="C35" s="746" t="s">
        <v>426</v>
      </c>
      <c r="D35" s="635">
        <v>0</v>
      </c>
      <c r="E35" s="635">
        <v>0</v>
      </c>
      <c r="F35" s="635">
        <f>+D35+E35</f>
        <v>0</v>
      </c>
      <c r="G35" s="635"/>
      <c r="H35" s="635"/>
      <c r="I35" s="634">
        <f t="shared" si="4"/>
        <v>0</v>
      </c>
    </row>
    <row r="36" spans="1:9" x14ac:dyDescent="0.25">
      <c r="A36" s="747"/>
      <c r="B36" s="745"/>
      <c r="C36" s="746" t="s">
        <v>427</v>
      </c>
      <c r="D36" s="635">
        <v>0</v>
      </c>
      <c r="E36" s="635">
        <v>0</v>
      </c>
      <c r="F36" s="635">
        <f>+D36+E36</f>
        <v>0</v>
      </c>
      <c r="G36" s="635"/>
      <c r="H36" s="635"/>
      <c r="I36" s="634">
        <f t="shared" si="4"/>
        <v>0</v>
      </c>
    </row>
    <row r="37" spans="1:9" x14ac:dyDescent="0.25">
      <c r="A37" s="747"/>
      <c r="B37" s="1398" t="s">
        <v>968</v>
      </c>
      <c r="C37" s="1399"/>
      <c r="D37" s="635">
        <f>'CPCA-II-01'!C18</f>
        <v>31353060.079999998</v>
      </c>
      <c r="E37" s="635">
        <f>'CPCA-II-01'!D18</f>
        <v>2838601.7</v>
      </c>
      <c r="F37" s="635">
        <f>'CPCA-II-01'!E18</f>
        <v>34191661.780000001</v>
      </c>
      <c r="G37" s="635">
        <f>'CPCA-II-01'!F18</f>
        <v>33638983.780000001</v>
      </c>
      <c r="H37" s="635">
        <f>'CPCA-II-01'!G18</f>
        <v>33638983.780000001</v>
      </c>
      <c r="I37" s="734">
        <f t="shared" si="4"/>
        <v>2285923.700000003</v>
      </c>
    </row>
    <row r="38" spans="1:9" x14ac:dyDescent="0.25">
      <c r="A38" s="747"/>
      <c r="B38" s="1391" t="s">
        <v>428</v>
      </c>
      <c r="C38" s="1392"/>
      <c r="D38" s="634">
        <f t="shared" ref="D38:I38" si="6">SUM(D39)</f>
        <v>0</v>
      </c>
      <c r="E38" s="634">
        <f t="shared" si="6"/>
        <v>0</v>
      </c>
      <c r="F38" s="634">
        <f t="shared" si="6"/>
        <v>0</v>
      </c>
      <c r="G38" s="634">
        <f t="shared" si="6"/>
        <v>0</v>
      </c>
      <c r="H38" s="634">
        <f t="shared" si="6"/>
        <v>0</v>
      </c>
      <c r="I38" s="634">
        <f t="shared" si="6"/>
        <v>0</v>
      </c>
    </row>
    <row r="39" spans="1:9" x14ac:dyDescent="0.25">
      <c r="A39" s="747"/>
      <c r="B39" s="745"/>
      <c r="C39" s="746" t="s">
        <v>429</v>
      </c>
      <c r="D39" s="635">
        <v>0</v>
      </c>
      <c r="E39" s="635"/>
      <c r="F39" s="635">
        <f>+D39+E39</f>
        <v>0</v>
      </c>
      <c r="G39" s="635"/>
      <c r="H39" s="635"/>
      <c r="I39" s="634">
        <f>+H39-D39</f>
        <v>0</v>
      </c>
    </row>
    <row r="40" spans="1:9" x14ac:dyDescent="0.25">
      <c r="A40" s="747"/>
      <c r="B40" s="1391" t="s">
        <v>430</v>
      </c>
      <c r="C40" s="1392"/>
      <c r="D40" s="634">
        <f t="shared" ref="D40:I40" si="7">SUM(D41:D42)</f>
        <v>0</v>
      </c>
      <c r="E40" s="634">
        <f t="shared" si="7"/>
        <v>0</v>
      </c>
      <c r="F40" s="634">
        <f t="shared" si="7"/>
        <v>0</v>
      </c>
      <c r="G40" s="634">
        <f t="shared" si="7"/>
        <v>0</v>
      </c>
      <c r="H40" s="634">
        <f t="shared" si="7"/>
        <v>0</v>
      </c>
      <c r="I40" s="634">
        <f t="shared" si="7"/>
        <v>0</v>
      </c>
    </row>
    <row r="41" spans="1:9" x14ac:dyDescent="0.25">
      <c r="A41" s="747"/>
      <c r="B41" s="745"/>
      <c r="C41" s="746" t="s">
        <v>431</v>
      </c>
      <c r="D41" s="635">
        <v>0</v>
      </c>
      <c r="E41" s="635">
        <v>0</v>
      </c>
      <c r="F41" s="635">
        <f>+D41+E41</f>
        <v>0</v>
      </c>
      <c r="G41" s="635"/>
      <c r="H41" s="635"/>
      <c r="I41" s="634">
        <f>H41-D41</f>
        <v>0</v>
      </c>
    </row>
    <row r="42" spans="1:9" x14ac:dyDescent="0.25">
      <c r="A42" s="747"/>
      <c r="B42" s="745"/>
      <c r="C42" s="746" t="s">
        <v>432</v>
      </c>
      <c r="D42" s="635">
        <v>0</v>
      </c>
      <c r="E42" s="635">
        <v>0</v>
      </c>
      <c r="F42" s="635">
        <f>+D42+E42</f>
        <v>0</v>
      </c>
      <c r="G42" s="635"/>
      <c r="H42" s="635"/>
      <c r="I42" s="634">
        <f>H42-D42</f>
        <v>0</v>
      </c>
    </row>
    <row r="43" spans="1:9" ht="8.25" customHeight="1" x14ac:dyDescent="0.25">
      <c r="A43" s="747"/>
      <c r="B43" s="745"/>
      <c r="C43" s="746"/>
      <c r="D43" s="630"/>
      <c r="E43" s="630"/>
      <c r="F43" s="630"/>
      <c r="G43" s="630"/>
      <c r="H43" s="630"/>
      <c r="I43" s="634"/>
    </row>
    <row r="44" spans="1:9" ht="15" customHeight="1" x14ac:dyDescent="0.25">
      <c r="A44" s="763" t="s">
        <v>433</v>
      </c>
      <c r="B44" s="609"/>
      <c r="C44" s="629"/>
      <c r="D44" s="1397">
        <f t="shared" ref="D44:I44" si="8">+D11+D12+D13+D14+D15+D16+D17+D18+D31+D37+D38+D40</f>
        <v>32253060.079999998</v>
      </c>
      <c r="E44" s="1397">
        <f t="shared" si="8"/>
        <v>4925717.59</v>
      </c>
      <c r="F44" s="1397">
        <f t="shared" si="8"/>
        <v>37178777.670000002</v>
      </c>
      <c r="G44" s="1397">
        <f t="shared" si="8"/>
        <v>36626099.670000002</v>
      </c>
      <c r="H44" s="1397">
        <f t="shared" si="8"/>
        <v>36626099.670000002</v>
      </c>
      <c r="I44" s="1397">
        <f t="shared" si="8"/>
        <v>4373039.5900000036</v>
      </c>
    </row>
    <row r="45" spans="1:9" x14ac:dyDescent="0.25">
      <c r="A45" s="763" t="s">
        <v>434</v>
      </c>
      <c r="B45" s="609"/>
      <c r="C45" s="629"/>
      <c r="D45" s="1397"/>
      <c r="E45" s="1397"/>
      <c r="F45" s="1397"/>
      <c r="G45" s="1397"/>
      <c r="H45" s="1397"/>
      <c r="I45" s="1397"/>
    </row>
    <row r="46" spans="1:9" ht="8.25" customHeight="1" x14ac:dyDescent="0.25">
      <c r="A46" s="764"/>
      <c r="B46" s="748"/>
      <c r="C46" s="749"/>
      <c r="D46" s="1397"/>
      <c r="E46" s="1397"/>
      <c r="F46" s="1397"/>
      <c r="G46" s="1397"/>
      <c r="H46" s="1397"/>
      <c r="I46" s="1397"/>
    </row>
    <row r="47" spans="1:9" x14ac:dyDescent="0.25">
      <c r="A47" s="1394" t="s">
        <v>435</v>
      </c>
      <c r="B47" s="1395"/>
      <c r="C47" s="1401"/>
      <c r="D47" s="637"/>
      <c r="E47" s="637"/>
      <c r="F47" s="637"/>
      <c r="G47" s="637"/>
      <c r="H47" s="637"/>
      <c r="I47" s="638">
        <f>IF(($H$44-$D$44)&lt;=0," ",$H$44-$D$44)</f>
        <v>4373039.5900000036</v>
      </c>
    </row>
    <row r="48" spans="1:9" ht="11.25" customHeight="1" x14ac:dyDescent="0.25">
      <c r="A48" s="747"/>
      <c r="B48" s="745"/>
      <c r="C48" s="746"/>
      <c r="D48" s="630"/>
      <c r="E48" s="630"/>
      <c r="F48" s="630"/>
      <c r="G48" s="630"/>
      <c r="H48" s="630"/>
      <c r="I48" s="634"/>
    </row>
    <row r="49" spans="1:9" x14ac:dyDescent="0.25">
      <c r="A49" s="1394" t="s">
        <v>436</v>
      </c>
      <c r="B49" s="1395"/>
      <c r="C49" s="1401"/>
      <c r="D49" s="630"/>
      <c r="E49" s="630"/>
      <c r="F49" s="630"/>
      <c r="G49" s="630"/>
      <c r="H49" s="630"/>
      <c r="I49" s="634"/>
    </row>
    <row r="50" spans="1:9" x14ac:dyDescent="0.25">
      <c r="A50" s="747"/>
      <c r="B50" s="1391" t="s">
        <v>437</v>
      </c>
      <c r="C50" s="1392"/>
      <c r="D50" s="630">
        <f t="shared" ref="D50:I50" si="9">SUM(D51:D58)</f>
        <v>0</v>
      </c>
      <c r="E50" s="630">
        <f t="shared" si="9"/>
        <v>0</v>
      </c>
      <c r="F50" s="630">
        <f t="shared" si="9"/>
        <v>0</v>
      </c>
      <c r="G50" s="630">
        <f t="shared" si="9"/>
        <v>0</v>
      </c>
      <c r="H50" s="630">
        <f t="shared" si="9"/>
        <v>0</v>
      </c>
      <c r="I50" s="634">
        <f t="shared" si="9"/>
        <v>0</v>
      </c>
    </row>
    <row r="51" spans="1:9" x14ac:dyDescent="0.25">
      <c r="A51" s="747"/>
      <c r="B51" s="745"/>
      <c r="C51" s="746" t="s">
        <v>438</v>
      </c>
      <c r="D51" s="635">
        <v>0</v>
      </c>
      <c r="E51" s="635">
        <v>0</v>
      </c>
      <c r="F51" s="635">
        <f t="shared" ref="F51:F58" si="10">+D51+E51</f>
        <v>0</v>
      </c>
      <c r="G51" s="635">
        <v>0</v>
      </c>
      <c r="H51" s="635">
        <v>0</v>
      </c>
      <c r="I51" s="634">
        <f>H51-D51</f>
        <v>0</v>
      </c>
    </row>
    <row r="52" spans="1:9" x14ac:dyDescent="0.25">
      <c r="A52" s="747"/>
      <c r="B52" s="745"/>
      <c r="C52" s="746" t="s">
        <v>439</v>
      </c>
      <c r="D52" s="635">
        <v>0</v>
      </c>
      <c r="E52" s="635"/>
      <c r="F52" s="635">
        <f t="shared" si="10"/>
        <v>0</v>
      </c>
      <c r="G52" s="635"/>
      <c r="H52" s="635"/>
      <c r="I52" s="634">
        <f t="shared" ref="I52:I63" si="11">H52-D52</f>
        <v>0</v>
      </c>
    </row>
    <row r="53" spans="1:9" x14ac:dyDescent="0.25">
      <c r="A53" s="747"/>
      <c r="B53" s="745"/>
      <c r="C53" s="746" t="s">
        <v>440</v>
      </c>
      <c r="D53" s="635">
        <v>0</v>
      </c>
      <c r="E53" s="635"/>
      <c r="F53" s="635">
        <f t="shared" si="10"/>
        <v>0</v>
      </c>
      <c r="G53" s="635"/>
      <c r="H53" s="635"/>
      <c r="I53" s="634">
        <f t="shared" si="11"/>
        <v>0</v>
      </c>
    </row>
    <row r="54" spans="1:9" ht="19.5" x14ac:dyDescent="0.25">
      <c r="A54" s="747"/>
      <c r="B54" s="745"/>
      <c r="C54" s="750" t="s">
        <v>441</v>
      </c>
      <c r="D54" s="635">
        <v>0</v>
      </c>
      <c r="E54" s="635"/>
      <c r="F54" s="635">
        <f t="shared" si="10"/>
        <v>0</v>
      </c>
      <c r="G54" s="635"/>
      <c r="H54" s="635"/>
      <c r="I54" s="634">
        <f t="shared" si="11"/>
        <v>0</v>
      </c>
    </row>
    <row r="55" spans="1:9" x14ac:dyDescent="0.25">
      <c r="A55" s="747"/>
      <c r="B55" s="745"/>
      <c r="C55" s="746" t="s">
        <v>442</v>
      </c>
      <c r="D55" s="635">
        <v>0</v>
      </c>
      <c r="E55" s="635">
        <v>0</v>
      </c>
      <c r="F55" s="635">
        <f t="shared" si="10"/>
        <v>0</v>
      </c>
      <c r="G55" s="635">
        <v>0</v>
      </c>
      <c r="H55" s="635">
        <v>0</v>
      </c>
      <c r="I55" s="634">
        <f t="shared" si="11"/>
        <v>0</v>
      </c>
    </row>
    <row r="56" spans="1:9" x14ac:dyDescent="0.25">
      <c r="A56" s="747"/>
      <c r="B56" s="745"/>
      <c r="C56" s="746" t="s">
        <v>443</v>
      </c>
      <c r="D56" s="635">
        <v>0</v>
      </c>
      <c r="E56" s="635"/>
      <c r="F56" s="635">
        <f t="shared" si="10"/>
        <v>0</v>
      </c>
      <c r="G56" s="635"/>
      <c r="H56" s="635"/>
      <c r="I56" s="634">
        <f t="shared" si="11"/>
        <v>0</v>
      </c>
    </row>
    <row r="57" spans="1:9" ht="19.5" x14ac:dyDescent="0.25">
      <c r="A57" s="747"/>
      <c r="B57" s="745"/>
      <c r="C57" s="750" t="s">
        <v>444</v>
      </c>
      <c r="D57" s="635">
        <v>0</v>
      </c>
      <c r="E57" s="635"/>
      <c r="F57" s="635">
        <f t="shared" si="10"/>
        <v>0</v>
      </c>
      <c r="G57" s="635"/>
      <c r="H57" s="635"/>
      <c r="I57" s="634">
        <f t="shared" si="11"/>
        <v>0</v>
      </c>
    </row>
    <row r="58" spans="1:9" ht="19.5" x14ac:dyDescent="0.25">
      <c r="A58" s="747"/>
      <c r="B58" s="745"/>
      <c r="C58" s="750" t="s">
        <v>445</v>
      </c>
      <c r="D58" s="635">
        <v>0</v>
      </c>
      <c r="E58" s="635"/>
      <c r="F58" s="635">
        <f t="shared" si="10"/>
        <v>0</v>
      </c>
      <c r="G58" s="635"/>
      <c r="H58" s="635"/>
      <c r="I58" s="634">
        <f t="shared" si="11"/>
        <v>0</v>
      </c>
    </row>
    <row r="59" spans="1:9" x14ac:dyDescent="0.25">
      <c r="A59" s="747"/>
      <c r="B59" s="1391" t="s">
        <v>446</v>
      </c>
      <c r="C59" s="1392"/>
      <c r="D59" s="630">
        <f t="shared" ref="D59:I59" si="12">SUM(D60:D63)</f>
        <v>0</v>
      </c>
      <c r="E59" s="630">
        <f t="shared" si="12"/>
        <v>0</v>
      </c>
      <c r="F59" s="630">
        <f t="shared" si="12"/>
        <v>0</v>
      </c>
      <c r="G59" s="630">
        <f t="shared" si="12"/>
        <v>0</v>
      </c>
      <c r="H59" s="630">
        <f t="shared" si="12"/>
        <v>0</v>
      </c>
      <c r="I59" s="634">
        <f t="shared" si="12"/>
        <v>0</v>
      </c>
    </row>
    <row r="60" spans="1:9" x14ac:dyDescent="0.25">
      <c r="A60" s="747"/>
      <c r="B60" s="745"/>
      <c r="C60" s="746" t="s">
        <v>447</v>
      </c>
      <c r="D60" s="635">
        <v>0</v>
      </c>
      <c r="E60" s="635"/>
      <c r="F60" s="635">
        <f>+D60+E60</f>
        <v>0</v>
      </c>
      <c r="G60" s="635"/>
      <c r="H60" s="635"/>
      <c r="I60" s="634">
        <f t="shared" si="11"/>
        <v>0</v>
      </c>
    </row>
    <row r="61" spans="1:9" x14ac:dyDescent="0.25">
      <c r="A61" s="747"/>
      <c r="B61" s="745"/>
      <c r="C61" s="746" t="s">
        <v>448</v>
      </c>
      <c r="D61" s="635">
        <v>0</v>
      </c>
      <c r="E61" s="635"/>
      <c r="F61" s="635">
        <v>0</v>
      </c>
      <c r="G61" s="635"/>
      <c r="H61" s="635"/>
      <c r="I61" s="634">
        <f t="shared" si="11"/>
        <v>0</v>
      </c>
    </row>
    <row r="62" spans="1:9" x14ac:dyDescent="0.25">
      <c r="A62" s="747"/>
      <c r="B62" s="745"/>
      <c r="C62" s="746" t="s">
        <v>449</v>
      </c>
      <c r="D62" s="635">
        <v>0</v>
      </c>
      <c r="E62" s="635"/>
      <c r="F62" s="635">
        <v>0</v>
      </c>
      <c r="G62" s="635"/>
      <c r="H62" s="635"/>
      <c r="I62" s="634">
        <f t="shared" si="11"/>
        <v>0</v>
      </c>
    </row>
    <row r="63" spans="1:9" x14ac:dyDescent="0.25">
      <c r="A63" s="747"/>
      <c r="B63" s="745"/>
      <c r="C63" s="746" t="s">
        <v>450</v>
      </c>
      <c r="D63" s="635">
        <v>0</v>
      </c>
      <c r="E63" s="635"/>
      <c r="F63" s="635">
        <v>0</v>
      </c>
      <c r="G63" s="635"/>
      <c r="H63" s="635"/>
      <c r="I63" s="634">
        <f t="shared" si="11"/>
        <v>0</v>
      </c>
    </row>
    <row r="64" spans="1:9" x14ac:dyDescent="0.25">
      <c r="A64" s="747"/>
      <c r="B64" s="1391" t="s">
        <v>451</v>
      </c>
      <c r="C64" s="1392"/>
      <c r="D64" s="630">
        <f t="shared" ref="D64:I64" si="13">SUM(D65:D66)</f>
        <v>0</v>
      </c>
      <c r="E64" s="630">
        <f t="shared" si="13"/>
        <v>0</v>
      </c>
      <c r="F64" s="630">
        <f t="shared" si="13"/>
        <v>0</v>
      </c>
      <c r="G64" s="630">
        <f t="shared" si="13"/>
        <v>0</v>
      </c>
      <c r="H64" s="630">
        <f t="shared" si="13"/>
        <v>0</v>
      </c>
      <c r="I64" s="634">
        <f t="shared" si="13"/>
        <v>0</v>
      </c>
    </row>
    <row r="65" spans="1:10" ht="20.25" thickBot="1" x14ac:dyDescent="0.3">
      <c r="A65" s="601"/>
      <c r="B65" s="683"/>
      <c r="C65" s="684" t="s">
        <v>452</v>
      </c>
      <c r="D65" s="636">
        <v>0</v>
      </c>
      <c r="E65" s="636">
        <v>0</v>
      </c>
      <c r="F65" s="636">
        <f>+D65+E65</f>
        <v>0</v>
      </c>
      <c r="G65" s="636">
        <v>0</v>
      </c>
      <c r="H65" s="636">
        <v>0</v>
      </c>
      <c r="I65" s="708">
        <f>H65-D65</f>
        <v>0</v>
      </c>
    </row>
    <row r="66" spans="1:10" x14ac:dyDescent="0.25">
      <c r="A66" s="747"/>
      <c r="B66" s="745"/>
      <c r="C66" s="750" t="s">
        <v>453</v>
      </c>
      <c r="D66" s="635">
        <v>0</v>
      </c>
      <c r="E66" s="635">
        <v>0</v>
      </c>
      <c r="F66" s="733">
        <v>0</v>
      </c>
      <c r="G66" s="635">
        <v>0</v>
      </c>
      <c r="H66" s="635">
        <v>0</v>
      </c>
      <c r="I66" s="634">
        <f>H66-D66</f>
        <v>0</v>
      </c>
    </row>
    <row r="67" spans="1:10" x14ac:dyDescent="0.25">
      <c r="A67" s="747"/>
      <c r="B67" s="1391" t="s">
        <v>979</v>
      </c>
      <c r="C67" s="1392"/>
      <c r="D67" s="635">
        <v>0</v>
      </c>
      <c r="E67" s="635">
        <v>0</v>
      </c>
      <c r="F67" s="635">
        <f>+D67+E67</f>
        <v>0</v>
      </c>
      <c r="G67" s="635">
        <v>0</v>
      </c>
      <c r="H67" s="635">
        <v>0</v>
      </c>
      <c r="I67" s="634">
        <f>H67-D67</f>
        <v>0</v>
      </c>
    </row>
    <row r="68" spans="1:10" x14ac:dyDescent="0.25">
      <c r="A68" s="747"/>
      <c r="B68" s="1391" t="s">
        <v>454</v>
      </c>
      <c r="C68" s="1392"/>
      <c r="D68" s="635">
        <v>0</v>
      </c>
      <c r="E68" s="635">
        <v>0</v>
      </c>
      <c r="F68" s="635">
        <f>+D68+E68</f>
        <v>0</v>
      </c>
      <c r="G68" s="635">
        <v>0</v>
      </c>
      <c r="H68" s="635">
        <v>0</v>
      </c>
      <c r="I68" s="634">
        <f>H68-D68</f>
        <v>0</v>
      </c>
    </row>
    <row r="69" spans="1:10" ht="8.25" customHeight="1" x14ac:dyDescent="0.25">
      <c r="A69" s="747"/>
      <c r="B69" s="1391"/>
      <c r="C69" s="1392"/>
      <c r="D69" s="630"/>
      <c r="E69" s="630"/>
      <c r="F69" s="630" t="s">
        <v>245</v>
      </c>
      <c r="G69" s="630"/>
      <c r="H69" s="630"/>
      <c r="I69" s="634"/>
    </row>
    <row r="70" spans="1:10" x14ac:dyDescent="0.25">
      <c r="A70" s="1403" t="s">
        <v>455</v>
      </c>
      <c r="B70" s="1404"/>
      <c r="C70" s="1405"/>
      <c r="D70" s="632">
        <f t="shared" ref="D70:I70" si="14">+D50+D59+D64+D67+D68</f>
        <v>0</v>
      </c>
      <c r="E70" s="632">
        <f t="shared" si="14"/>
        <v>0</v>
      </c>
      <c r="F70" s="632">
        <f t="shared" si="14"/>
        <v>0</v>
      </c>
      <c r="G70" s="632">
        <f t="shared" si="14"/>
        <v>0</v>
      </c>
      <c r="H70" s="632">
        <f t="shared" si="14"/>
        <v>0</v>
      </c>
      <c r="I70" s="709">
        <f t="shared" si="14"/>
        <v>0</v>
      </c>
    </row>
    <row r="71" spans="1:10" ht="6" customHeight="1" x14ac:dyDescent="0.25">
      <c r="A71" s="747"/>
      <c r="B71" s="1391"/>
      <c r="C71" s="1392"/>
      <c r="D71" s="630"/>
      <c r="E71" s="630"/>
      <c r="F71" s="630" t="s">
        <v>245</v>
      </c>
      <c r="G71" s="630"/>
      <c r="H71" s="630"/>
      <c r="I71" s="634"/>
    </row>
    <row r="72" spans="1:10" x14ac:dyDescent="0.25">
      <c r="A72" s="1394" t="s">
        <v>456</v>
      </c>
      <c r="B72" s="1395"/>
      <c r="C72" s="1401"/>
      <c r="D72" s="632">
        <f t="shared" ref="D72:I72" si="15">SUM(D73)</f>
        <v>0</v>
      </c>
      <c r="E72" s="632">
        <f t="shared" si="15"/>
        <v>0</v>
      </c>
      <c r="F72" s="632">
        <f t="shared" si="15"/>
        <v>0</v>
      </c>
      <c r="G72" s="632">
        <f t="shared" si="15"/>
        <v>0</v>
      </c>
      <c r="H72" s="632">
        <f t="shared" si="15"/>
        <v>0</v>
      </c>
      <c r="I72" s="709">
        <f t="shared" si="15"/>
        <v>0</v>
      </c>
    </row>
    <row r="73" spans="1:10" x14ac:dyDescent="0.25">
      <c r="A73" s="747"/>
      <c r="B73" s="1402" t="s">
        <v>457</v>
      </c>
      <c r="C73" s="1392"/>
      <c r="D73" s="635">
        <v>0</v>
      </c>
      <c r="E73" s="635"/>
      <c r="F73" s="635" t="s">
        <v>245</v>
      </c>
      <c r="G73" s="635"/>
      <c r="H73" s="635">
        <v>0</v>
      </c>
      <c r="I73" s="634">
        <f>H73-D73</f>
        <v>0</v>
      </c>
    </row>
    <row r="74" spans="1:10" ht="7.5" customHeight="1" x14ac:dyDescent="0.25">
      <c r="A74" s="747"/>
      <c r="B74" s="1402"/>
      <c r="C74" s="1392"/>
      <c r="D74" s="630"/>
      <c r="E74" s="630"/>
      <c r="F74" s="630" t="s">
        <v>245</v>
      </c>
      <c r="G74" s="630"/>
      <c r="H74" s="630"/>
      <c r="I74" s="634"/>
    </row>
    <row r="75" spans="1:10" x14ac:dyDescent="0.25">
      <c r="A75" s="1394" t="s">
        <v>458</v>
      </c>
      <c r="B75" s="1395"/>
      <c r="C75" s="1401"/>
      <c r="D75" s="632">
        <f t="shared" ref="D75:I75" si="16">+D44+D70+D72</f>
        <v>32253060.079999998</v>
      </c>
      <c r="E75" s="632">
        <f t="shared" si="16"/>
        <v>4925717.59</v>
      </c>
      <c r="F75" s="632">
        <f t="shared" si="16"/>
        <v>37178777.670000002</v>
      </c>
      <c r="G75" s="632">
        <f t="shared" si="16"/>
        <v>36626099.670000002</v>
      </c>
      <c r="H75" s="632">
        <f t="shared" si="16"/>
        <v>36626099.670000002</v>
      </c>
      <c r="I75" s="709">
        <f t="shared" si="16"/>
        <v>4373039.5900000036</v>
      </c>
    </row>
    <row r="76" spans="1:10" ht="6" customHeight="1" x14ac:dyDescent="0.25">
      <c r="A76" s="747"/>
      <c r="B76" s="1402"/>
      <c r="C76" s="1392"/>
      <c r="D76" s="630"/>
      <c r="E76" s="630"/>
      <c r="F76" s="630" t="s">
        <v>245</v>
      </c>
      <c r="G76" s="630"/>
      <c r="H76" s="630"/>
      <c r="I76" s="634"/>
    </row>
    <row r="77" spans="1:10" x14ac:dyDescent="0.25">
      <c r="A77" s="747"/>
      <c r="B77" s="1408" t="s">
        <v>459</v>
      </c>
      <c r="C77" s="1401"/>
      <c r="D77" s="634"/>
      <c r="E77" s="634"/>
      <c r="F77" s="634" t="s">
        <v>245</v>
      </c>
      <c r="G77" s="634"/>
      <c r="H77" s="634"/>
      <c r="I77" s="634"/>
    </row>
    <row r="78" spans="1:10" ht="21.75" customHeight="1" x14ac:dyDescent="0.25">
      <c r="A78" s="747"/>
      <c r="B78" s="1409" t="s">
        <v>460</v>
      </c>
      <c r="C78" s="1410"/>
      <c r="D78" s="635">
        <f>D75</f>
        <v>32253060.079999998</v>
      </c>
      <c r="E78" s="635">
        <f>E75</f>
        <v>4925717.59</v>
      </c>
      <c r="F78" s="635">
        <f>F75</f>
        <v>37178777.670000002</v>
      </c>
      <c r="G78" s="635">
        <f>G75</f>
        <v>36626099.670000002</v>
      </c>
      <c r="H78" s="635">
        <f>H75</f>
        <v>36626099.670000002</v>
      </c>
      <c r="I78" s="634">
        <f>H78-D78</f>
        <v>4373039.5900000036</v>
      </c>
    </row>
    <row r="79" spans="1:10" ht="22.5" customHeight="1" x14ac:dyDescent="0.25">
      <c r="A79" s="747"/>
      <c r="B79" s="1409" t="s">
        <v>461</v>
      </c>
      <c r="C79" s="1410"/>
      <c r="D79" s="635">
        <v>0</v>
      </c>
      <c r="E79" s="635">
        <v>0</v>
      </c>
      <c r="F79" s="635">
        <f>+D79+E79</f>
        <v>0</v>
      </c>
      <c r="G79" s="635">
        <v>0</v>
      </c>
      <c r="H79" s="635">
        <v>0</v>
      </c>
      <c r="I79" s="634">
        <f>H79-D79</f>
        <v>0</v>
      </c>
    </row>
    <row r="80" spans="1:10" x14ac:dyDescent="0.25">
      <c r="A80" s="747"/>
      <c r="B80" s="1408" t="s">
        <v>462</v>
      </c>
      <c r="C80" s="1401"/>
      <c r="D80" s="632">
        <f t="shared" ref="D80:I80" si="17">+D78+D79</f>
        <v>32253060.079999998</v>
      </c>
      <c r="E80" s="632">
        <f t="shared" si="17"/>
        <v>4925717.59</v>
      </c>
      <c r="F80" s="632">
        <f t="shared" si="17"/>
        <v>37178777.670000002</v>
      </c>
      <c r="G80" s="632">
        <f t="shared" si="17"/>
        <v>36626099.670000002</v>
      </c>
      <c r="H80" s="632">
        <f t="shared" si="17"/>
        <v>36626099.670000002</v>
      </c>
      <c r="I80" s="709">
        <f t="shared" si="17"/>
        <v>4373039.5900000036</v>
      </c>
      <c r="J80" s="482" t="str">
        <f>IF(D75&lt;&gt;'CPCA-II-01'!C20,"ERROR!!!!! EL MONTO ESTIMADO NO COINCIDE CON LO REPORTADO EN EL FORMATO ETCA-II-01 EN EL TOTAL DE INGRESOS","")</f>
        <v/>
      </c>
    </row>
    <row r="81" spans="1:10" ht="15.75" thickBot="1" x14ac:dyDescent="0.3">
      <c r="A81" s="600"/>
      <c r="B81" s="1406"/>
      <c r="C81" s="1407"/>
      <c r="D81" s="631"/>
      <c r="E81" s="631"/>
      <c r="F81" s="631"/>
      <c r="G81" s="631"/>
      <c r="H81" s="631"/>
      <c r="I81" s="631"/>
      <c r="J81" s="482" t="str">
        <f>IF(E75&lt;&gt;'CPCA-II-01'!D20,"ERROR!!!!! EL MONTO NO COINCIDE CON LO REPORTADO EN EL FORMATO ETCA-II-01 EN EL TOTAL DE INGRESOS","")</f>
        <v/>
      </c>
    </row>
    <row r="82" spans="1:10" x14ac:dyDescent="0.25">
      <c r="J82" s="482" t="str">
        <f>IF(F75&lt;&gt;'CPCA-II-01'!E20,"ERROR!!!!! EL MONTO NO COINCIDE CON LO REPORTADO EN EL FORMATO ETCA-II-01 EN EL TOTAL DE INGRESOS","")</f>
        <v/>
      </c>
    </row>
    <row r="83" spans="1:10" x14ac:dyDescent="0.25">
      <c r="J83" s="482" t="str">
        <f>IF(G75&lt;&gt;'CPCA-II-01'!F20,"ERROR!!!!! EL MONTO NO COINCIDE CON LO REPORTADO EN EL FORMATO ETCA-II-01 EN EL TOTAL DE INGRESOS","")</f>
        <v/>
      </c>
    </row>
    <row r="84" spans="1:10" x14ac:dyDescent="0.25">
      <c r="J84" s="482" t="str">
        <f>IF(H75&lt;&gt;'CPCA-II-01'!G20,"ERROR!!!!! EL MONTO NO COINCIDE CON LO REPORTADO EN EL FORMATO ETCA-II-01 EN EL TOTAL DE INGRESOS","")</f>
        <v/>
      </c>
    </row>
    <row r="85" spans="1:10" x14ac:dyDescent="0.25">
      <c r="J85" s="482" t="str">
        <f>IF(I75&lt;&gt;'CPCA-II-01'!H20,"ERROR!!!!! EL MONTO NO COINCIDE CON LO REPORTADO EN EL FORMATO ETCA-II-01 EN EL TOTAL DE INGRESOS","")</f>
        <v/>
      </c>
    </row>
    <row r="86" spans="1:10" x14ac:dyDescent="0.25">
      <c r="J86" s="482" t="str">
        <f>IF(D75&lt;&gt;'CPCA-II-01'!C45,"ERROR!!!!! EL MONTO NO COINCIDE CON LO REPORTADO EN EL FORMATO ETCA-II-01 EN EL TOTAL DE INGRESOS","")</f>
        <v/>
      </c>
    </row>
    <row r="87" spans="1:10" x14ac:dyDescent="0.25">
      <c r="J87" s="482" t="str">
        <f>IF(E75&lt;&gt;'CPCA-II-01'!D45,"ERROR!!!!! EL MONTO NO COINCIDE CON LO REPORTADO EN EL FORMATO ETCA-II-01 EN EL TOTAL DE INGRESOS","")</f>
        <v/>
      </c>
    </row>
    <row r="88" spans="1:10" x14ac:dyDescent="0.25">
      <c r="J88" s="482" t="str">
        <f>IF(F75&lt;&gt;'CPCA-II-01'!E45,"ERROR!!!!! EL MONTO NO COINCIDE CON LO REPORTADO EN EL FORMATO ETCA-II-01 EN EL TOTAL DE INGRESOS","")</f>
        <v/>
      </c>
    </row>
    <row r="89" spans="1:10" x14ac:dyDescent="0.25">
      <c r="J89" s="482" t="str">
        <f>IF(G75&lt;&gt;'CPCA-II-01'!F45,"ERROR!!!!! EL MONTO NO COINCIDE CON LO REPORTADO EN EL FORMATO ETCA-II-01 EN EL TOTAL DE INGRESOS","")</f>
        <v/>
      </c>
    </row>
    <row r="90" spans="1:10" x14ac:dyDescent="0.25">
      <c r="J90" s="482" t="str">
        <f>IF(H75&lt;&gt;'CPCA-II-01'!G45,"ERROR!!!!! EL MONTO NO COINCIDE CON LO REPORTADO EN EL FORMATO ETCA-II-01 EN EL TOTAL DE INGRESOS","")</f>
        <v/>
      </c>
    </row>
    <row r="91" spans="1:10" x14ac:dyDescent="0.25">
      <c r="J91" s="482" t="str">
        <f>IF(I75&lt;&gt;'CPCA-II-01'!H45,"ERROR!!!!! EL MONTO NO COINCIDE CON LO REPORTADO EN EL FORMATO ETCA-II-01 EN EL TOTAL DE INGRESOS","")</f>
        <v/>
      </c>
    </row>
  </sheetData>
  <sheetProtection formatColumns="0" formatRows="0" insertHyperlinks="0"/>
  <mergeCells count="63">
    <mergeCell ref="B81:C81"/>
    <mergeCell ref="A75:C75"/>
    <mergeCell ref="B76:C76"/>
    <mergeCell ref="B77:C77"/>
    <mergeCell ref="B78:C78"/>
    <mergeCell ref="B79:C79"/>
    <mergeCell ref="B80:C80"/>
    <mergeCell ref="B74:C74"/>
    <mergeCell ref="A49:C49"/>
    <mergeCell ref="B50:C50"/>
    <mergeCell ref="B59:C59"/>
    <mergeCell ref="B64:C64"/>
    <mergeCell ref="B67:C67"/>
    <mergeCell ref="B68:C68"/>
    <mergeCell ref="B69:C69"/>
    <mergeCell ref="A70:C70"/>
    <mergeCell ref="B71:C71"/>
    <mergeCell ref="A72:C72"/>
    <mergeCell ref="B73:C73"/>
    <mergeCell ref="A47:C47"/>
    <mergeCell ref="B38:C38"/>
    <mergeCell ref="B40:C40"/>
    <mergeCell ref="D44:D46"/>
    <mergeCell ref="F18:F19"/>
    <mergeCell ref="E44:E46"/>
    <mergeCell ref="F44:F46"/>
    <mergeCell ref="G18:G19"/>
    <mergeCell ref="H18:H19"/>
    <mergeCell ref="I18:I19"/>
    <mergeCell ref="D18:D19"/>
    <mergeCell ref="E18:E19"/>
    <mergeCell ref="G44:G46"/>
    <mergeCell ref="H44:H46"/>
    <mergeCell ref="I44:I46"/>
    <mergeCell ref="B31:C31"/>
    <mergeCell ref="B37:C37"/>
    <mergeCell ref="A9:C9"/>
    <mergeCell ref="B17:C17"/>
    <mergeCell ref="A18:A19"/>
    <mergeCell ref="B18:C18"/>
    <mergeCell ref="B19:C19"/>
    <mergeCell ref="B16:C16"/>
    <mergeCell ref="B15:C15"/>
    <mergeCell ref="A10:C10"/>
    <mergeCell ref="B11:C11"/>
    <mergeCell ref="B12:C12"/>
    <mergeCell ref="B13:C13"/>
    <mergeCell ref="B14:C14"/>
    <mergeCell ref="A6:C6"/>
    <mergeCell ref="D6:H6"/>
    <mergeCell ref="I6:I8"/>
    <mergeCell ref="A7:C7"/>
    <mergeCell ref="A8:C8"/>
    <mergeCell ref="D7:D8"/>
    <mergeCell ref="E7:E8"/>
    <mergeCell ref="F7:F8"/>
    <mergeCell ref="G7:G8"/>
    <mergeCell ref="H7:H8"/>
    <mergeCell ref="A5:I5"/>
    <mergeCell ref="A4:I4"/>
    <mergeCell ref="A2:I2"/>
    <mergeCell ref="A1:I1"/>
    <mergeCell ref="A3:I3"/>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pageSetUpPr fitToPage="1"/>
  </sheetPr>
  <dimension ref="A1:E27"/>
  <sheetViews>
    <sheetView view="pageBreakPreview" zoomScale="120" zoomScaleNormal="100" zoomScaleSheetLayoutView="120" workbookViewId="0">
      <selection activeCell="D9" sqref="D9"/>
    </sheetView>
  </sheetViews>
  <sheetFormatPr baseColWidth="10" defaultColWidth="11.28515625" defaultRowHeight="16.5" x14ac:dyDescent="0.25"/>
  <cols>
    <col min="1" max="1" width="1.28515625" style="110" customWidth="1"/>
    <col min="2" max="2" width="43.85546875" style="110" customWidth="1"/>
    <col min="3" max="4" width="25.7109375" style="110" customWidth="1"/>
    <col min="5" max="5" width="62" style="221" customWidth="1"/>
    <col min="6" max="16384" width="11.28515625" style="110"/>
  </cols>
  <sheetData>
    <row r="1" spans="1:5" x14ac:dyDescent="0.25">
      <c r="A1" s="1236" t="str">
        <f>'CPCA-I-01'!A1:G1</f>
        <v>RADIO SONORA</v>
      </c>
      <c r="B1" s="1236"/>
      <c r="C1" s="1236"/>
      <c r="D1" s="1236"/>
    </row>
    <row r="2" spans="1:5" s="152" customFormat="1" ht="15.75" x14ac:dyDescent="0.25">
      <c r="A2" s="1237" t="s">
        <v>463</v>
      </c>
      <c r="B2" s="1237"/>
      <c r="C2" s="1237"/>
      <c r="D2" s="1237"/>
      <c r="E2" s="395"/>
    </row>
    <row r="3" spans="1:5" s="152" customFormat="1" ht="15.75" x14ac:dyDescent="0.25">
      <c r="A3" s="1236"/>
      <c r="B3" s="1236"/>
      <c r="C3" s="1236"/>
      <c r="D3" s="1236"/>
      <c r="E3" s="394"/>
    </row>
    <row r="4" spans="1:5" s="152" customFormat="1" x14ac:dyDescent="0.25">
      <c r="A4" s="1238" t="str">
        <f>'CPCA-I-01'!A4:G4</f>
        <v>AL 31 DE DICIEMBRE DE 2024</v>
      </c>
      <c r="B4" s="1238"/>
      <c r="C4" s="1238"/>
      <c r="D4" s="1238"/>
      <c r="E4" s="394"/>
    </row>
    <row r="5" spans="1:5" s="154" customFormat="1" ht="17.25" thickBot="1" x14ac:dyDescent="0.3">
      <c r="A5" s="153"/>
      <c r="B5" s="1239" t="s">
        <v>464</v>
      </c>
      <c r="C5" s="1239"/>
      <c r="D5" s="226"/>
      <c r="E5" s="396"/>
    </row>
    <row r="6" spans="1:5" s="155" customFormat="1" ht="27" customHeight="1" thickBot="1" x14ac:dyDescent="0.3">
      <c r="A6" s="1411" t="s">
        <v>945</v>
      </c>
      <c r="B6" s="1412"/>
      <c r="C6" s="235"/>
      <c r="D6" s="236">
        <f>'CPCA-II-01'!F20</f>
        <v>36626099.670000002</v>
      </c>
      <c r="E6" s="397" t="str">
        <f>IF(D6&lt;&gt;'CPCA-II-01'!F45,"ERROR!!!!! EL MONTO NO COINCIDE CON LO REPORTADO EN EL FORMATO ETCA-II-01 EN EL TOTAL DEVENGADO DEL ANALÍTICO DE INGRESOS","")</f>
        <v/>
      </c>
    </row>
    <row r="7" spans="1:5" s="229" customFormat="1" ht="9.75" customHeight="1" x14ac:dyDescent="0.25">
      <c r="A7" s="248"/>
      <c r="B7" s="227"/>
      <c r="C7" s="228"/>
      <c r="D7" s="250"/>
      <c r="E7" s="398"/>
    </row>
    <row r="8" spans="1:5" s="229" customFormat="1" ht="17.25" customHeight="1" thickBot="1" x14ac:dyDescent="0.3">
      <c r="A8" s="249"/>
      <c r="B8" s="230"/>
      <c r="C8" s="231"/>
      <c r="D8" s="251"/>
      <c r="E8" s="397"/>
    </row>
    <row r="9" spans="1:5" ht="20.100000000000001" customHeight="1" thickBot="1" x14ac:dyDescent="0.3">
      <c r="A9" s="237" t="s">
        <v>946</v>
      </c>
      <c r="B9" s="238"/>
      <c r="C9" s="239"/>
      <c r="D9" s="240">
        <f>SUM(C10:C15)</f>
        <v>0</v>
      </c>
      <c r="E9" s="397"/>
    </row>
    <row r="10" spans="1:5" ht="20.100000000000001" customHeight="1" x14ac:dyDescent="0.2">
      <c r="A10" s="156"/>
      <c r="B10" s="257" t="s">
        <v>943</v>
      </c>
      <c r="C10" s="241"/>
      <c r="D10" s="399"/>
      <c r="E10" s="416" t="str">
        <f>IF(C10&lt;&gt;'CPCA-I-03'!C21,"ERROR!!!, NO COINCIDEN LOS MONTOS CON LO REPORTADO EN EL FORMATO ETCA-I-03","")</f>
        <v/>
      </c>
    </row>
    <row r="11" spans="1:5" ht="20.100000000000001" customHeight="1" x14ac:dyDescent="0.2">
      <c r="A11" s="156"/>
      <c r="B11" s="258" t="s">
        <v>206</v>
      </c>
      <c r="C11" s="241"/>
      <c r="D11" s="399"/>
      <c r="E11" s="416"/>
    </row>
    <row r="12" spans="1:5" ht="33" customHeight="1" x14ac:dyDescent="0.2">
      <c r="A12" s="156"/>
      <c r="B12" s="258" t="s">
        <v>207</v>
      </c>
      <c r="C12" s="241"/>
      <c r="D12" s="399"/>
      <c r="E12" s="416" t="str">
        <f>IF(C12&lt;&gt;'CPCA-I-03'!C22,"ERROR!!!, NO COINCIDEN LOS MONTOS CON LO REPORTADO EN EL FORMATO ETCA-I-03","")</f>
        <v/>
      </c>
    </row>
    <row r="13" spans="1:5" ht="20.100000000000001" customHeight="1" x14ac:dyDescent="0.2">
      <c r="A13" s="157"/>
      <c r="B13" s="258" t="s">
        <v>208</v>
      </c>
      <c r="C13" s="241"/>
      <c r="D13" s="399"/>
      <c r="E13" s="416" t="str">
        <f>IF(C13&lt;&gt;'CPCA-I-03'!C23,"ERROR!!!, NO COINCIDEN LOS MONTOS CON LO REPORTADO EN EL FORMATO ETCA-I-03","")</f>
        <v/>
      </c>
    </row>
    <row r="14" spans="1:5" ht="20.100000000000001" customHeight="1" x14ac:dyDescent="0.2">
      <c r="A14" s="157"/>
      <c r="B14" s="258" t="s">
        <v>209</v>
      </c>
      <c r="C14" s="241">
        <f>'CPCA-I-03'!C24</f>
        <v>0</v>
      </c>
      <c r="D14" s="399"/>
      <c r="E14" s="416" t="str">
        <f>IF(C14&lt;&gt;'CPCA-I-03'!C24,"ERROR!!!, NO COINCIDEN LOS MONTOS CON LO REPORTADO EN EL FORMATO ETCA-I-03","")</f>
        <v/>
      </c>
    </row>
    <row r="15" spans="1:5" ht="24.75" customHeight="1" thickBot="1" x14ac:dyDescent="0.3">
      <c r="A15" s="232" t="s">
        <v>980</v>
      </c>
      <c r="B15" s="261"/>
      <c r="C15" s="242"/>
      <c r="D15" s="400"/>
      <c r="E15" s="397"/>
    </row>
    <row r="16" spans="1:5" ht="7.5" customHeight="1" x14ac:dyDescent="0.25">
      <c r="A16" s="262"/>
      <c r="B16" s="252"/>
      <c r="C16" s="253"/>
      <c r="D16" s="254"/>
      <c r="E16" s="397"/>
    </row>
    <row r="17" spans="1:5" ht="20.100000000000001" customHeight="1" thickBot="1" x14ac:dyDescent="0.3">
      <c r="A17" s="263"/>
      <c r="B17" s="255"/>
      <c r="C17" s="256"/>
      <c r="D17" s="233"/>
      <c r="E17" s="397"/>
    </row>
    <row r="18" spans="1:5" ht="20.100000000000001" customHeight="1" thickBot="1" x14ac:dyDescent="0.3">
      <c r="A18" s="237" t="s">
        <v>947</v>
      </c>
      <c r="B18" s="238"/>
      <c r="C18" s="239"/>
      <c r="D18" s="240">
        <f>SUM(C19:C22)</f>
        <v>0</v>
      </c>
      <c r="E18" s="397"/>
    </row>
    <row r="19" spans="1:5" ht="20.100000000000001" customHeight="1" x14ac:dyDescent="0.25">
      <c r="A19" s="157"/>
      <c r="B19" s="257" t="s">
        <v>944</v>
      </c>
      <c r="C19" s="243"/>
      <c r="D19" s="399"/>
      <c r="E19" s="397"/>
    </row>
    <row r="20" spans="1:5" ht="20.100000000000001" customHeight="1" x14ac:dyDescent="0.25">
      <c r="A20" s="157"/>
      <c r="B20" s="258" t="s">
        <v>386</v>
      </c>
      <c r="C20" s="243"/>
      <c r="D20" s="399"/>
      <c r="E20" s="397"/>
    </row>
    <row r="21" spans="1:5" ht="20.100000000000001" customHeight="1" x14ac:dyDescent="0.25">
      <c r="A21" s="234" t="s">
        <v>981</v>
      </c>
      <c r="B21" s="259"/>
      <c r="C21" s="243"/>
      <c r="D21" s="399"/>
      <c r="E21" s="397"/>
    </row>
    <row r="22" spans="1:5" ht="20.100000000000001" customHeight="1" thickBot="1" x14ac:dyDescent="0.3">
      <c r="A22" s="157"/>
      <c r="B22" s="260"/>
      <c r="C22" s="244"/>
      <c r="D22" s="399"/>
      <c r="E22" s="397"/>
    </row>
    <row r="23" spans="1:5" ht="26.25" customHeight="1" thickBot="1" x14ac:dyDescent="0.3">
      <c r="A23" s="245" t="s">
        <v>948</v>
      </c>
      <c r="B23" s="246"/>
      <c r="C23" s="247"/>
      <c r="D23" s="236">
        <f>D6+D9-D18</f>
        <v>36626099.670000002</v>
      </c>
      <c r="E23" s="397" t="str">
        <f>IF(D23&lt;&gt;'CPCA-I-03'!C25,"ERROR!!!!! EL MONTO NO COINCIDE CON LO REPORTADO EN EL FORMATO ETCA-I-03 EN EL TOTAL DE INGRESOS Y OTROS BENEFICIOS","")</f>
        <v/>
      </c>
    </row>
    <row r="26" spans="1:5" s="932" customFormat="1" ht="13.5" x14ac:dyDescent="0.25">
      <c r="B26" s="939" t="s">
        <v>988</v>
      </c>
      <c r="C26" s="939"/>
      <c r="D26" s="939"/>
      <c r="E26" s="933"/>
    </row>
    <row r="27" spans="1:5" s="932" customFormat="1" ht="13.5" x14ac:dyDescent="0.25">
      <c r="B27" s="939" t="s">
        <v>989</v>
      </c>
      <c r="C27" s="939"/>
      <c r="D27" s="939"/>
      <c r="E27" s="933"/>
    </row>
  </sheetData>
  <sheetProtection insertHyperlinks="0"/>
  <mergeCells count="6">
    <mergeCell ref="A6:B6"/>
    <mergeCell ref="A1:D1"/>
    <mergeCell ref="A3:D3"/>
    <mergeCell ref="A2:D2"/>
    <mergeCell ref="A4:D4"/>
    <mergeCell ref="B5:C5"/>
  </mergeCells>
  <printOptions horizontalCentered="1"/>
  <pageMargins left="0.39370078740157483" right="0.39370078740157483" top="0.74803149606299213" bottom="0.74803149606299213" header="0.31496062992125984" footer="0.31496062992125984"/>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view="pageBreakPreview" zoomScale="98" zoomScaleNormal="100" zoomScaleSheetLayoutView="98" workbookViewId="0">
      <selection activeCell="F51" sqref="F51"/>
    </sheetView>
  </sheetViews>
  <sheetFormatPr baseColWidth="10" defaultRowHeight="15" x14ac:dyDescent="0.25"/>
  <cols>
    <col min="1" max="1" width="49.85546875" customWidth="1"/>
    <col min="2" max="2" width="13.7109375" customWidth="1"/>
    <col min="3" max="3" width="15.42578125" customWidth="1"/>
    <col min="4" max="7" width="13.7109375" customWidth="1"/>
  </cols>
  <sheetData>
    <row r="1" spans="1:7" ht="15.75" x14ac:dyDescent="0.25">
      <c r="A1" s="1236" t="str">
        <f>'CPCA-II-03'!A1:D1</f>
        <v>RADIO SONORA</v>
      </c>
      <c r="B1" s="1236"/>
      <c r="C1" s="1236"/>
      <c r="D1" s="1236"/>
      <c r="E1" s="1236"/>
      <c r="F1" s="1236"/>
      <c r="G1" s="1236"/>
    </row>
    <row r="2" spans="1:7" ht="15.75" x14ac:dyDescent="0.25">
      <c r="A2" s="1237" t="s">
        <v>465</v>
      </c>
      <c r="B2" s="1237"/>
      <c r="C2" s="1237"/>
      <c r="D2" s="1237"/>
      <c r="E2" s="1237"/>
      <c r="F2" s="1237"/>
      <c r="G2" s="1237"/>
    </row>
    <row r="3" spans="1:7" ht="15.75" x14ac:dyDescent="0.25">
      <c r="A3" s="1237" t="s">
        <v>466</v>
      </c>
      <c r="B3" s="1237"/>
      <c r="C3" s="1237"/>
      <c r="D3" s="1237"/>
      <c r="E3" s="1237"/>
      <c r="F3" s="1237"/>
      <c r="G3" s="1237"/>
    </row>
    <row r="4" spans="1:7" ht="15.75" x14ac:dyDescent="0.25">
      <c r="A4" s="1236"/>
      <c r="B4" s="1236"/>
      <c r="C4" s="1236"/>
      <c r="D4" s="1236"/>
      <c r="E4" s="1236"/>
      <c r="F4" s="1236"/>
      <c r="G4" s="1236"/>
    </row>
    <row r="5" spans="1:7" ht="16.5" x14ac:dyDescent="0.25">
      <c r="A5" s="1238" t="str">
        <f>'CPCA-I-03'!A4:D4</f>
        <v>Del 01 de ENERO al 31 de DICIEMBRE de 2024</v>
      </c>
      <c r="B5" s="1238"/>
      <c r="C5" s="1238"/>
      <c r="D5" s="1238"/>
      <c r="E5" s="1238"/>
      <c r="F5" s="1238"/>
      <c r="G5" s="1238"/>
    </row>
    <row r="6" spans="1:7" ht="17.25" thickBot="1" x14ac:dyDescent="0.3">
      <c r="A6" s="1415" t="s">
        <v>467</v>
      </c>
      <c r="B6" s="1415"/>
      <c r="C6" s="1415"/>
      <c r="D6" s="1415"/>
      <c r="E6" s="1415"/>
      <c r="F6" s="226"/>
      <c r="G6" s="154"/>
    </row>
    <row r="7" spans="1:7" ht="38.25" x14ac:dyDescent="0.25">
      <c r="A7" s="1413" t="s">
        <v>468</v>
      </c>
      <c r="B7" s="188" t="s">
        <v>469</v>
      </c>
      <c r="C7" s="188" t="s">
        <v>397</v>
      </c>
      <c r="D7" s="443" t="s">
        <v>470</v>
      </c>
      <c r="E7" s="189" t="s">
        <v>471</v>
      </c>
      <c r="F7" s="189" t="s">
        <v>472</v>
      </c>
      <c r="G7" s="444" t="s">
        <v>473</v>
      </c>
    </row>
    <row r="8" spans="1:7" ht="15.75" thickBot="1" x14ac:dyDescent="0.3">
      <c r="A8" s="1414"/>
      <c r="B8" s="192" t="s">
        <v>377</v>
      </c>
      <c r="C8" s="192" t="s">
        <v>378</v>
      </c>
      <c r="D8" s="445" t="s">
        <v>474</v>
      </c>
      <c r="E8" s="193" t="s">
        <v>380</v>
      </c>
      <c r="F8" s="193" t="s">
        <v>381</v>
      </c>
      <c r="G8" s="446" t="s">
        <v>475</v>
      </c>
    </row>
    <row r="9" spans="1:7" x14ac:dyDescent="0.25">
      <c r="A9" s="1119" t="s">
        <v>213</v>
      </c>
      <c r="B9" s="1116">
        <f t="shared" ref="B9:G9" si="0">SUM(B10:B16)</f>
        <v>27044836.079999998</v>
      </c>
      <c r="C9" s="1116">
        <f t="shared" si="0"/>
        <v>1459039.51</v>
      </c>
      <c r="D9" s="1116">
        <f t="shared" si="0"/>
        <v>28503875.59</v>
      </c>
      <c r="E9" s="1116">
        <f t="shared" si="0"/>
        <v>28503875.590000004</v>
      </c>
      <c r="F9" s="1116">
        <f t="shared" si="0"/>
        <v>27207958.950000003</v>
      </c>
      <c r="G9" s="1120">
        <f t="shared" si="0"/>
        <v>0</v>
      </c>
    </row>
    <row r="10" spans="1:7" x14ac:dyDescent="0.25">
      <c r="A10" s="1112" t="s">
        <v>476</v>
      </c>
      <c r="B10" s="1168">
        <v>12617047.449999999</v>
      </c>
      <c r="C10" s="1168">
        <v>401815.64</v>
      </c>
      <c r="D10" s="1045">
        <f t="shared" ref="D10:D16" si="1">B10+C10</f>
        <v>13018863.09</v>
      </c>
      <c r="E10" s="1168">
        <v>13018863.09</v>
      </c>
      <c r="F10" s="1168">
        <v>13018863.09</v>
      </c>
      <c r="G10" s="1041">
        <f t="shared" ref="G10:G73" si="2">D10-E10</f>
        <v>0</v>
      </c>
    </row>
    <row r="11" spans="1:7" x14ac:dyDescent="0.25">
      <c r="A11" s="1112" t="s">
        <v>477</v>
      </c>
      <c r="B11" s="1168">
        <v>0</v>
      </c>
      <c r="C11" s="1168">
        <v>0</v>
      </c>
      <c r="D11" s="1045">
        <f t="shared" si="1"/>
        <v>0</v>
      </c>
      <c r="E11" s="1168">
        <v>0</v>
      </c>
      <c r="F11" s="1168">
        <v>0</v>
      </c>
      <c r="G11" s="1041">
        <f t="shared" si="2"/>
        <v>0</v>
      </c>
    </row>
    <row r="12" spans="1:7" x14ac:dyDescent="0.25">
      <c r="A12" s="1112" t="s">
        <v>478</v>
      </c>
      <c r="B12" s="1168">
        <v>3488427.76</v>
      </c>
      <c r="C12" s="1168">
        <v>309044.34000000003</v>
      </c>
      <c r="D12" s="1045">
        <f t="shared" si="1"/>
        <v>3797472.0999999996</v>
      </c>
      <c r="E12" s="1168">
        <v>3797472.1</v>
      </c>
      <c r="F12" s="1168">
        <v>3797472.1</v>
      </c>
      <c r="G12" s="1041">
        <f t="shared" si="2"/>
        <v>0</v>
      </c>
    </row>
    <row r="13" spans="1:7" x14ac:dyDescent="0.25">
      <c r="A13" s="1112" t="s">
        <v>479</v>
      </c>
      <c r="B13" s="1168">
        <v>6091278.2400000002</v>
      </c>
      <c r="C13" s="1168">
        <v>1093017.51</v>
      </c>
      <c r="D13" s="1045">
        <f t="shared" si="1"/>
        <v>7184295.75</v>
      </c>
      <c r="E13" s="1168">
        <v>7184295.75</v>
      </c>
      <c r="F13" s="1168">
        <v>5994468.4699999997</v>
      </c>
      <c r="G13" s="1041">
        <f t="shared" si="2"/>
        <v>0</v>
      </c>
    </row>
    <row r="14" spans="1:7" x14ac:dyDescent="0.25">
      <c r="A14" s="1112" t="s">
        <v>480</v>
      </c>
      <c r="B14" s="1168">
        <v>2241549.16</v>
      </c>
      <c r="C14" s="1168">
        <v>954638.53</v>
      </c>
      <c r="D14" s="1045">
        <f t="shared" si="1"/>
        <v>3196187.6900000004</v>
      </c>
      <c r="E14" s="1168">
        <v>3196187.69</v>
      </c>
      <c r="F14" s="1168">
        <v>3090098.33</v>
      </c>
      <c r="G14" s="1041">
        <f t="shared" si="2"/>
        <v>0</v>
      </c>
    </row>
    <row r="15" spans="1:7" x14ac:dyDescent="0.25">
      <c r="A15" s="1112" t="s">
        <v>481</v>
      </c>
      <c r="B15" s="1168">
        <v>1274812.1100000001</v>
      </c>
      <c r="C15" s="1168">
        <v>-1274812.1100000001</v>
      </c>
      <c r="D15" s="1045">
        <f t="shared" si="1"/>
        <v>0</v>
      </c>
      <c r="E15" s="1168">
        <v>0</v>
      </c>
      <c r="F15" s="1168">
        <v>0</v>
      </c>
      <c r="G15" s="1041">
        <f t="shared" si="2"/>
        <v>0</v>
      </c>
    </row>
    <row r="16" spans="1:7" x14ac:dyDescent="0.25">
      <c r="A16" s="1112" t="s">
        <v>482</v>
      </c>
      <c r="B16" s="1168">
        <v>1331721.3600000001</v>
      </c>
      <c r="C16" s="1168">
        <v>-24664.400000000001</v>
      </c>
      <c r="D16" s="1045">
        <f t="shared" si="1"/>
        <v>1307056.9600000002</v>
      </c>
      <c r="E16" s="1168">
        <v>1307056.96</v>
      </c>
      <c r="F16" s="1168">
        <v>1307056.96</v>
      </c>
      <c r="G16" s="1041">
        <f t="shared" si="2"/>
        <v>0</v>
      </c>
    </row>
    <row r="17" spans="1:7" x14ac:dyDescent="0.25">
      <c r="A17" s="1115" t="s">
        <v>214</v>
      </c>
      <c r="B17" s="1116">
        <f>SUM(B18:B26)</f>
        <v>750000</v>
      </c>
      <c r="C17" s="1116">
        <f>SUM(C18:C26)</f>
        <v>1074023.3700000001</v>
      </c>
      <c r="D17" s="1116">
        <f>B17+C17</f>
        <v>1824023.37</v>
      </c>
      <c r="E17" s="1116">
        <f>SUM(E18:E26)</f>
        <v>1845778.03</v>
      </c>
      <c r="F17" s="1117">
        <f>SUM(F18:F26)</f>
        <v>1840103.75</v>
      </c>
      <c r="G17" s="1118">
        <f t="shared" si="2"/>
        <v>-21754.659999999916</v>
      </c>
    </row>
    <row r="18" spans="1:7" ht="25.5" x14ac:dyDescent="0.25">
      <c r="A18" s="1112" t="s">
        <v>483</v>
      </c>
      <c r="B18" s="1168">
        <v>291000</v>
      </c>
      <c r="C18" s="1168">
        <v>144302.44</v>
      </c>
      <c r="D18" s="1045">
        <f t="shared" ref="D18:D72" si="3">B18+C18</f>
        <v>435302.44</v>
      </c>
      <c r="E18" s="1168">
        <v>440253.58</v>
      </c>
      <c r="F18" s="1168">
        <v>440253.58</v>
      </c>
      <c r="G18" s="1041">
        <f t="shared" si="2"/>
        <v>-4951.140000000014</v>
      </c>
    </row>
    <row r="19" spans="1:7" x14ac:dyDescent="0.25">
      <c r="A19" s="1112" t="s">
        <v>484</v>
      </c>
      <c r="B19" s="1168">
        <v>40000</v>
      </c>
      <c r="C19" s="1168">
        <v>71072.2</v>
      </c>
      <c r="D19" s="1045">
        <f t="shared" si="3"/>
        <v>111072.2</v>
      </c>
      <c r="E19" s="1168">
        <v>123706.95</v>
      </c>
      <c r="F19" s="1168">
        <v>123706.95</v>
      </c>
      <c r="G19" s="1041">
        <f t="shared" si="2"/>
        <v>-12634.75</v>
      </c>
    </row>
    <row r="20" spans="1:7" x14ac:dyDescent="0.25">
      <c r="A20" s="1112" t="s">
        <v>485</v>
      </c>
      <c r="B20" s="1168">
        <v>0</v>
      </c>
      <c r="C20" s="1168">
        <v>0</v>
      </c>
      <c r="D20" s="1045">
        <f t="shared" si="3"/>
        <v>0</v>
      </c>
      <c r="E20" s="1168">
        <v>0</v>
      </c>
      <c r="F20" s="1168">
        <v>0</v>
      </c>
      <c r="G20" s="1041">
        <f t="shared" si="2"/>
        <v>0</v>
      </c>
    </row>
    <row r="21" spans="1:7" x14ac:dyDescent="0.25">
      <c r="A21" s="1112" t="s">
        <v>486</v>
      </c>
      <c r="B21" s="1168">
        <v>95000</v>
      </c>
      <c r="C21" s="1168">
        <v>655169.05000000005</v>
      </c>
      <c r="D21" s="1045">
        <f t="shared" si="3"/>
        <v>750169.05</v>
      </c>
      <c r="E21" s="1168">
        <v>770072.73</v>
      </c>
      <c r="F21" s="1168">
        <v>770072.73</v>
      </c>
      <c r="G21" s="1041">
        <f t="shared" si="2"/>
        <v>-19903.679999999935</v>
      </c>
    </row>
    <row r="22" spans="1:7" x14ac:dyDescent="0.25">
      <c r="A22" s="1112" t="s">
        <v>487</v>
      </c>
      <c r="B22" s="1168">
        <v>0</v>
      </c>
      <c r="C22" s="1168">
        <v>0</v>
      </c>
      <c r="D22" s="1045">
        <f t="shared" si="3"/>
        <v>0</v>
      </c>
      <c r="E22" s="1168">
        <v>0</v>
      </c>
      <c r="F22" s="1168">
        <v>0</v>
      </c>
      <c r="G22" s="1041">
        <f t="shared" si="2"/>
        <v>0</v>
      </c>
    </row>
    <row r="23" spans="1:7" x14ac:dyDescent="0.25">
      <c r="A23" s="1112" t="s">
        <v>488</v>
      </c>
      <c r="B23" s="1168">
        <v>150000</v>
      </c>
      <c r="C23" s="1168">
        <v>230248.07</v>
      </c>
      <c r="D23" s="1045">
        <f t="shared" si="3"/>
        <v>380248.07</v>
      </c>
      <c r="E23" s="1168">
        <v>349585.67</v>
      </c>
      <c r="F23" s="1168">
        <v>343911.39</v>
      </c>
      <c r="G23" s="1041">
        <f t="shared" si="2"/>
        <v>30662.400000000023</v>
      </c>
    </row>
    <row r="24" spans="1:7" x14ac:dyDescent="0.25">
      <c r="A24" s="1112" t="s">
        <v>489</v>
      </c>
      <c r="B24" s="1168">
        <v>24000</v>
      </c>
      <c r="C24" s="1168">
        <v>12876.34</v>
      </c>
      <c r="D24" s="1045">
        <f t="shared" si="3"/>
        <v>36876.339999999997</v>
      </c>
      <c r="E24" s="1168">
        <v>36876.339999999997</v>
      </c>
      <c r="F24" s="1168">
        <v>36876.339999999997</v>
      </c>
      <c r="G24" s="1041">
        <f t="shared" si="2"/>
        <v>0</v>
      </c>
    </row>
    <row r="25" spans="1:7" x14ac:dyDescent="0.25">
      <c r="A25" s="1112" t="s">
        <v>490</v>
      </c>
      <c r="B25" s="1168">
        <v>0</v>
      </c>
      <c r="C25" s="1168">
        <v>0</v>
      </c>
      <c r="D25" s="1045">
        <f t="shared" si="3"/>
        <v>0</v>
      </c>
      <c r="E25" s="1168">
        <v>0</v>
      </c>
      <c r="F25" s="1168">
        <v>0</v>
      </c>
      <c r="G25" s="1041">
        <f t="shared" si="2"/>
        <v>0</v>
      </c>
    </row>
    <row r="26" spans="1:7" x14ac:dyDescent="0.25">
      <c r="A26" s="1112" t="s">
        <v>491</v>
      </c>
      <c r="B26" s="1168">
        <v>150000</v>
      </c>
      <c r="C26" s="1168">
        <v>-39644.730000000003</v>
      </c>
      <c r="D26" s="1045">
        <f t="shared" si="3"/>
        <v>110355.26999999999</v>
      </c>
      <c r="E26" s="1168">
        <v>125282.76</v>
      </c>
      <c r="F26" s="1168">
        <v>125282.76</v>
      </c>
      <c r="G26" s="1041">
        <f t="shared" si="2"/>
        <v>-14927.490000000005</v>
      </c>
    </row>
    <row r="27" spans="1:7" x14ac:dyDescent="0.25">
      <c r="A27" s="1115" t="s">
        <v>215</v>
      </c>
      <c r="B27" s="1116">
        <f>SUM(B28:B36)</f>
        <v>3699224</v>
      </c>
      <c r="C27" s="1116">
        <f>SUM(C28:C36)</f>
        <v>1326637.22</v>
      </c>
      <c r="D27" s="1116">
        <f>B27+C27</f>
        <v>5025861.22</v>
      </c>
      <c r="E27" s="1116">
        <f>SUM(E28:E36)</f>
        <v>4184734.0399999996</v>
      </c>
      <c r="F27" s="1117">
        <f>SUM(F28:F36)</f>
        <v>4184734.0399999996</v>
      </c>
      <c r="G27" s="1118">
        <f t="shared" si="2"/>
        <v>841127.18000000017</v>
      </c>
    </row>
    <row r="28" spans="1:7" x14ac:dyDescent="0.25">
      <c r="A28" s="1112" t="s">
        <v>492</v>
      </c>
      <c r="B28" s="1168">
        <v>981000</v>
      </c>
      <c r="C28" s="1168">
        <v>-15044.82</v>
      </c>
      <c r="D28" s="1045">
        <f t="shared" si="3"/>
        <v>965955.18</v>
      </c>
      <c r="E28" s="1168">
        <v>949731.38</v>
      </c>
      <c r="F28" s="1168">
        <v>949731.38</v>
      </c>
      <c r="G28" s="1041">
        <f t="shared" si="2"/>
        <v>16223.800000000047</v>
      </c>
    </row>
    <row r="29" spans="1:7" x14ac:dyDescent="0.25">
      <c r="A29" s="1112" t="s">
        <v>493</v>
      </c>
      <c r="B29" s="1168">
        <v>71000</v>
      </c>
      <c r="C29" s="1168">
        <v>97892.59</v>
      </c>
      <c r="D29" s="1045">
        <f t="shared" si="3"/>
        <v>168892.59</v>
      </c>
      <c r="E29" s="1168">
        <v>140664.20000000001</v>
      </c>
      <c r="F29" s="1168">
        <v>140664.20000000001</v>
      </c>
      <c r="G29" s="1041">
        <f t="shared" si="2"/>
        <v>28228.389999999985</v>
      </c>
    </row>
    <row r="30" spans="1:7" x14ac:dyDescent="0.25">
      <c r="A30" s="1112" t="s">
        <v>494</v>
      </c>
      <c r="B30" s="1168">
        <v>730000</v>
      </c>
      <c r="C30" s="1168">
        <v>-8251.2900000000009</v>
      </c>
      <c r="D30" s="1045">
        <f t="shared" si="3"/>
        <v>721748.71</v>
      </c>
      <c r="E30" s="1168">
        <v>660585.23</v>
      </c>
      <c r="F30" s="1168">
        <v>660585.23</v>
      </c>
      <c r="G30" s="1041">
        <f t="shared" si="2"/>
        <v>61163.479999999981</v>
      </c>
    </row>
    <row r="31" spans="1:7" x14ac:dyDescent="0.25">
      <c r="A31" s="1112" t="s">
        <v>495</v>
      </c>
      <c r="B31" s="1168">
        <v>115000</v>
      </c>
      <c r="C31" s="1168">
        <v>-37199.81</v>
      </c>
      <c r="D31" s="1045">
        <f t="shared" si="3"/>
        <v>77800.19</v>
      </c>
      <c r="E31" s="1168">
        <v>55783.77</v>
      </c>
      <c r="F31" s="1168">
        <v>55783.77</v>
      </c>
      <c r="G31" s="1041">
        <f t="shared" si="2"/>
        <v>22016.420000000006</v>
      </c>
    </row>
    <row r="32" spans="1:7" x14ac:dyDescent="0.25">
      <c r="A32" s="1112" t="s">
        <v>496</v>
      </c>
      <c r="B32" s="1168">
        <v>504000</v>
      </c>
      <c r="C32" s="1168">
        <v>454027.12</v>
      </c>
      <c r="D32" s="1045">
        <f t="shared" si="3"/>
        <v>958027.12</v>
      </c>
      <c r="E32" s="1168">
        <v>912994.17</v>
      </c>
      <c r="F32" s="1168">
        <v>912994.17</v>
      </c>
      <c r="G32" s="1041">
        <f t="shared" si="2"/>
        <v>45032.949999999953</v>
      </c>
    </row>
    <row r="33" spans="1:7" x14ac:dyDescent="0.25">
      <c r="A33" s="1112" t="s">
        <v>497</v>
      </c>
      <c r="B33" s="1168">
        <v>0</v>
      </c>
      <c r="C33" s="1168">
        <v>0</v>
      </c>
      <c r="D33" s="1045">
        <f t="shared" si="3"/>
        <v>0</v>
      </c>
      <c r="E33" s="1168">
        <v>0</v>
      </c>
      <c r="F33" s="1168">
        <v>0</v>
      </c>
      <c r="G33" s="1041">
        <f t="shared" si="2"/>
        <v>0</v>
      </c>
    </row>
    <row r="34" spans="1:7" x14ac:dyDescent="0.25">
      <c r="A34" s="1112" t="s">
        <v>498</v>
      </c>
      <c r="B34" s="1168">
        <v>329000</v>
      </c>
      <c r="C34" s="1168">
        <v>374332.47</v>
      </c>
      <c r="D34" s="1045">
        <f t="shared" si="3"/>
        <v>703332.47</v>
      </c>
      <c r="E34" s="1168">
        <v>661642.47</v>
      </c>
      <c r="F34" s="1168">
        <v>661642.47</v>
      </c>
      <c r="G34" s="1041">
        <f t="shared" si="2"/>
        <v>41690</v>
      </c>
    </row>
    <row r="35" spans="1:7" ht="15.75" thickBot="1" x14ac:dyDescent="0.3">
      <c r="A35" s="1113" t="s">
        <v>499</v>
      </c>
      <c r="B35" s="1176">
        <v>0</v>
      </c>
      <c r="C35" s="1192">
        <v>242461.95</v>
      </c>
      <c r="D35" s="1046">
        <f t="shared" si="3"/>
        <v>242461.95</v>
      </c>
      <c r="E35" s="1193">
        <v>246098.32</v>
      </c>
      <c r="F35" s="1177">
        <v>246098.32</v>
      </c>
      <c r="G35" s="1042">
        <f t="shared" si="2"/>
        <v>-3636.3699999999953</v>
      </c>
    </row>
    <row r="36" spans="1:7" x14ac:dyDescent="0.25">
      <c r="A36" s="1112" t="s">
        <v>500</v>
      </c>
      <c r="B36" s="1168">
        <v>969224</v>
      </c>
      <c r="C36" s="1168">
        <v>218419.01</v>
      </c>
      <c r="D36" s="1045">
        <f t="shared" si="3"/>
        <v>1187643.01</v>
      </c>
      <c r="E36" s="1168">
        <v>557234.5</v>
      </c>
      <c r="F36" s="1168">
        <v>557234.5</v>
      </c>
      <c r="G36" s="1041">
        <f t="shared" si="2"/>
        <v>630408.51</v>
      </c>
    </row>
    <row r="37" spans="1:7" x14ac:dyDescent="0.25">
      <c r="A37" s="447" t="s">
        <v>389</v>
      </c>
      <c r="B37" s="1045">
        <f>SUM(B38:B46)</f>
        <v>0</v>
      </c>
      <c r="C37" s="1045">
        <f>SUM(C38:C46)</f>
        <v>0</v>
      </c>
      <c r="D37" s="1045">
        <f>B37+C37</f>
        <v>0</v>
      </c>
      <c r="E37" s="1045">
        <f>SUM(E38:E46)</f>
        <v>0</v>
      </c>
      <c r="F37" s="1106">
        <f>SUM(F38:F46)</f>
        <v>0</v>
      </c>
      <c r="G37" s="1041">
        <f t="shared" si="2"/>
        <v>0</v>
      </c>
    </row>
    <row r="38" spans="1:7" x14ac:dyDescent="0.25">
      <c r="A38" s="1112" t="s">
        <v>216</v>
      </c>
      <c r="B38" s="1047"/>
      <c r="C38" s="1047"/>
      <c r="D38" s="1045">
        <f t="shared" si="3"/>
        <v>0</v>
      </c>
      <c r="E38" s="1047"/>
      <c r="F38" s="1107"/>
      <c r="G38" s="1041">
        <f t="shared" si="2"/>
        <v>0</v>
      </c>
    </row>
    <row r="39" spans="1:7" x14ac:dyDescent="0.25">
      <c r="A39" s="1112" t="s">
        <v>217</v>
      </c>
      <c r="B39" s="1047"/>
      <c r="C39" s="1047"/>
      <c r="D39" s="1045">
        <f t="shared" si="3"/>
        <v>0</v>
      </c>
      <c r="E39" s="1047"/>
      <c r="F39" s="1107"/>
      <c r="G39" s="1041">
        <f t="shared" si="2"/>
        <v>0</v>
      </c>
    </row>
    <row r="40" spans="1:7" x14ac:dyDescent="0.25">
      <c r="A40" s="1112" t="s">
        <v>218</v>
      </c>
      <c r="B40" s="1047"/>
      <c r="C40" s="1047"/>
      <c r="D40" s="1045">
        <f t="shared" si="3"/>
        <v>0</v>
      </c>
      <c r="E40" s="1047"/>
      <c r="F40" s="1107"/>
      <c r="G40" s="1041">
        <f t="shared" si="2"/>
        <v>0</v>
      </c>
    </row>
    <row r="41" spans="1:7" x14ac:dyDescent="0.25">
      <c r="A41" s="1112" t="s">
        <v>219</v>
      </c>
      <c r="B41" s="1047"/>
      <c r="C41" s="1047"/>
      <c r="D41" s="1045">
        <f t="shared" si="3"/>
        <v>0</v>
      </c>
      <c r="E41" s="1047"/>
      <c r="F41" s="1107"/>
      <c r="G41" s="1041">
        <f t="shared" si="2"/>
        <v>0</v>
      </c>
    </row>
    <row r="42" spans="1:7" x14ac:dyDescent="0.25">
      <c r="A42" s="1112" t="s">
        <v>220</v>
      </c>
      <c r="B42" s="1047"/>
      <c r="C42" s="1047"/>
      <c r="D42" s="1045">
        <f t="shared" si="3"/>
        <v>0</v>
      </c>
      <c r="E42" s="1047"/>
      <c r="F42" s="1107"/>
      <c r="G42" s="1041">
        <f t="shared" si="2"/>
        <v>0</v>
      </c>
    </row>
    <row r="43" spans="1:7" x14ac:dyDescent="0.25">
      <c r="A43" s="1112" t="s">
        <v>501</v>
      </c>
      <c r="B43" s="1047"/>
      <c r="C43" s="1047"/>
      <c r="D43" s="1045">
        <f t="shared" si="3"/>
        <v>0</v>
      </c>
      <c r="E43" s="1047"/>
      <c r="F43" s="1107"/>
      <c r="G43" s="1041">
        <f t="shared" si="2"/>
        <v>0</v>
      </c>
    </row>
    <row r="44" spans="1:7" x14ac:dyDescent="0.25">
      <c r="A44" s="1112" t="s">
        <v>222</v>
      </c>
      <c r="B44" s="1047"/>
      <c r="C44" s="1047"/>
      <c r="D44" s="1045">
        <f t="shared" si="3"/>
        <v>0</v>
      </c>
      <c r="E44" s="1047"/>
      <c r="F44" s="1107"/>
      <c r="G44" s="1041">
        <f t="shared" si="2"/>
        <v>0</v>
      </c>
    </row>
    <row r="45" spans="1:7" x14ac:dyDescent="0.25">
      <c r="A45" s="1112" t="s">
        <v>223</v>
      </c>
      <c r="B45" s="1047"/>
      <c r="C45" s="1047"/>
      <c r="D45" s="1045">
        <f t="shared" si="3"/>
        <v>0</v>
      </c>
      <c r="E45" s="1047"/>
      <c r="F45" s="1107"/>
      <c r="G45" s="1041">
        <f t="shared" si="2"/>
        <v>0</v>
      </c>
    </row>
    <row r="46" spans="1:7" x14ac:dyDescent="0.25">
      <c r="A46" s="1112" t="s">
        <v>224</v>
      </c>
      <c r="B46" s="289"/>
      <c r="C46" s="289"/>
      <c r="D46" s="290">
        <f t="shared" si="3"/>
        <v>0</v>
      </c>
      <c r="E46" s="289"/>
      <c r="F46" s="1108"/>
      <c r="G46" s="449">
        <f t="shared" si="2"/>
        <v>0</v>
      </c>
    </row>
    <row r="47" spans="1:7" x14ac:dyDescent="0.25">
      <c r="A47" s="1115" t="s">
        <v>502</v>
      </c>
      <c r="B47" s="1121">
        <f>SUM(B48:B56)</f>
        <v>759000</v>
      </c>
      <c r="C47" s="1121">
        <f>SUM(C48:C56)</f>
        <v>1136455.2999999998</v>
      </c>
      <c r="D47" s="1121">
        <f>B47+C47</f>
        <v>1895455.2999999998</v>
      </c>
      <c r="E47" s="1121">
        <f>SUM(E48:E56)</f>
        <v>347289.9</v>
      </c>
      <c r="F47" s="1121">
        <f>SUM(F48:F56)</f>
        <v>347289.9</v>
      </c>
      <c r="G47" s="1122">
        <f t="shared" si="2"/>
        <v>1548165.4</v>
      </c>
    </row>
    <row r="48" spans="1:7" x14ac:dyDescent="0.25">
      <c r="A48" s="1112" t="s">
        <v>503</v>
      </c>
      <c r="B48" s="1168">
        <v>605000</v>
      </c>
      <c r="C48" s="1168">
        <v>-363749.6</v>
      </c>
      <c r="D48" s="290">
        <f t="shared" si="3"/>
        <v>241250.40000000002</v>
      </c>
      <c r="E48" s="1168">
        <v>255845.4</v>
      </c>
      <c r="F48" s="1168">
        <v>255845.4</v>
      </c>
      <c r="G48" s="449">
        <f>D48-E48</f>
        <v>-14594.999999999971</v>
      </c>
    </row>
    <row r="49" spans="1:7" x14ac:dyDescent="0.25">
      <c r="A49" s="1112" t="s">
        <v>504</v>
      </c>
      <c r="B49" s="1168">
        <v>0</v>
      </c>
      <c r="C49" s="1168">
        <v>0</v>
      </c>
      <c r="D49" s="290">
        <f t="shared" si="3"/>
        <v>0</v>
      </c>
      <c r="E49" s="1168">
        <v>0</v>
      </c>
      <c r="F49" s="1168">
        <v>0</v>
      </c>
      <c r="G49" s="449">
        <f t="shared" si="2"/>
        <v>0</v>
      </c>
    </row>
    <row r="50" spans="1:7" x14ac:dyDescent="0.25">
      <c r="A50" s="1112" t="s">
        <v>505</v>
      </c>
      <c r="B50" s="1168">
        <v>0</v>
      </c>
      <c r="C50" s="1168">
        <v>0</v>
      </c>
      <c r="D50" s="290">
        <f t="shared" si="3"/>
        <v>0</v>
      </c>
      <c r="E50" s="1168">
        <v>0</v>
      </c>
      <c r="F50" s="1168">
        <v>0</v>
      </c>
      <c r="G50" s="449">
        <f t="shared" si="2"/>
        <v>0</v>
      </c>
    </row>
    <row r="51" spans="1:7" x14ac:dyDescent="0.25">
      <c r="A51" s="1112" t="s">
        <v>506</v>
      </c>
      <c r="B51" s="1168">
        <v>0</v>
      </c>
      <c r="C51" s="1168">
        <v>0</v>
      </c>
      <c r="D51" s="290">
        <f t="shared" si="3"/>
        <v>0</v>
      </c>
      <c r="E51" s="1168">
        <v>0</v>
      </c>
      <c r="F51" s="1168">
        <v>0</v>
      </c>
      <c r="G51" s="449">
        <f t="shared" si="2"/>
        <v>0</v>
      </c>
    </row>
    <row r="52" spans="1:7" x14ac:dyDescent="0.25">
      <c r="A52" s="1112" t="s">
        <v>507</v>
      </c>
      <c r="B52" s="1168">
        <v>0</v>
      </c>
      <c r="C52" s="1168">
        <v>0</v>
      </c>
      <c r="D52" s="290">
        <f t="shared" si="3"/>
        <v>0</v>
      </c>
      <c r="E52" s="1168">
        <v>0</v>
      </c>
      <c r="F52" s="1168">
        <v>0</v>
      </c>
      <c r="G52" s="449">
        <f t="shared" si="2"/>
        <v>0</v>
      </c>
    </row>
    <row r="53" spans="1:7" x14ac:dyDescent="0.25">
      <c r="A53" s="1112" t="s">
        <v>508</v>
      </c>
      <c r="B53" s="1168">
        <v>154000</v>
      </c>
      <c r="C53" s="1168">
        <v>1500204.9</v>
      </c>
      <c r="D53" s="290">
        <f t="shared" si="3"/>
        <v>1654204.9</v>
      </c>
      <c r="E53" s="1168">
        <v>91444.5</v>
      </c>
      <c r="F53" s="1168">
        <v>91444.5</v>
      </c>
      <c r="G53" s="449">
        <f t="shared" si="2"/>
        <v>1562760.4</v>
      </c>
    </row>
    <row r="54" spans="1:7" x14ac:dyDescent="0.25">
      <c r="A54" s="1112" t="s">
        <v>509</v>
      </c>
      <c r="B54" s="1174">
        <v>0</v>
      </c>
      <c r="C54" s="1168">
        <v>0</v>
      </c>
      <c r="D54" s="290">
        <f t="shared" si="3"/>
        <v>0</v>
      </c>
      <c r="E54" s="1168">
        <v>0</v>
      </c>
      <c r="F54" s="1168">
        <v>0</v>
      </c>
      <c r="G54" s="449">
        <f t="shared" si="2"/>
        <v>0</v>
      </c>
    </row>
    <row r="55" spans="1:7" x14ac:dyDescent="0.25">
      <c r="A55" s="1112" t="s">
        <v>510</v>
      </c>
      <c r="B55" s="1174">
        <v>0</v>
      </c>
      <c r="C55" s="1168">
        <v>0</v>
      </c>
      <c r="D55" s="290">
        <f t="shared" si="3"/>
        <v>0</v>
      </c>
      <c r="E55" s="1168">
        <v>0</v>
      </c>
      <c r="F55" s="1168">
        <v>0</v>
      </c>
      <c r="G55" s="449">
        <f t="shared" si="2"/>
        <v>0</v>
      </c>
    </row>
    <row r="56" spans="1:7" x14ac:dyDescent="0.25">
      <c r="A56" s="1112" t="s">
        <v>54</v>
      </c>
      <c r="B56" s="1174">
        <v>0</v>
      </c>
      <c r="C56" s="1168">
        <v>0</v>
      </c>
      <c r="D56" s="290">
        <f t="shared" si="3"/>
        <v>0</v>
      </c>
      <c r="E56" s="1168">
        <v>0</v>
      </c>
      <c r="F56" s="1168">
        <v>0</v>
      </c>
      <c r="G56" s="449">
        <f t="shared" si="2"/>
        <v>0</v>
      </c>
    </row>
    <row r="57" spans="1:7" x14ac:dyDescent="0.25">
      <c r="A57" s="447" t="s">
        <v>240</v>
      </c>
      <c r="B57" s="290">
        <f>SUM(B58:B60)</f>
        <v>0</v>
      </c>
      <c r="C57" s="290">
        <f>SUM(C58:C60)</f>
        <v>0</v>
      </c>
      <c r="D57" s="290">
        <f>B57+C57</f>
        <v>0</v>
      </c>
      <c r="E57" s="290">
        <f>SUM(E58:E60)</f>
        <v>0</v>
      </c>
      <c r="F57" s="1109">
        <f>SUM(F58:F60)</f>
        <v>0</v>
      </c>
      <c r="G57" s="449">
        <f t="shared" si="2"/>
        <v>0</v>
      </c>
    </row>
    <row r="58" spans="1:7" x14ac:dyDescent="0.25">
      <c r="A58" s="1112" t="s">
        <v>511</v>
      </c>
      <c r="B58" s="289"/>
      <c r="C58" s="289"/>
      <c r="D58" s="290">
        <f t="shared" si="3"/>
        <v>0</v>
      </c>
      <c r="E58" s="289"/>
      <c r="F58" s="1108"/>
      <c r="G58" s="449">
        <f t="shared" si="2"/>
        <v>0</v>
      </c>
    </row>
    <row r="59" spans="1:7" x14ac:dyDescent="0.25">
      <c r="A59" s="1112" t="s">
        <v>512</v>
      </c>
      <c r="B59" s="289"/>
      <c r="C59" s="289"/>
      <c r="D59" s="290">
        <f t="shared" si="3"/>
        <v>0</v>
      </c>
      <c r="E59" s="289"/>
      <c r="F59" s="289"/>
      <c r="G59" s="449">
        <f t="shared" si="2"/>
        <v>0</v>
      </c>
    </row>
    <row r="60" spans="1:7" x14ac:dyDescent="0.25">
      <c r="A60" s="1112" t="s">
        <v>513</v>
      </c>
      <c r="B60" s="289"/>
      <c r="C60" s="289"/>
      <c r="D60" s="290">
        <f t="shared" si="3"/>
        <v>0</v>
      </c>
      <c r="E60" s="289"/>
      <c r="F60" s="289"/>
      <c r="G60" s="449">
        <f t="shared" si="2"/>
        <v>0</v>
      </c>
    </row>
    <row r="61" spans="1:7" x14ac:dyDescent="0.25">
      <c r="A61" s="447" t="s">
        <v>514</v>
      </c>
      <c r="B61" s="290">
        <f>SUM(B62:B68)</f>
        <v>0</v>
      </c>
      <c r="C61" s="290">
        <f>SUM(C62:C68)</f>
        <v>0</v>
      </c>
      <c r="D61" s="290">
        <f>B61+C61</f>
        <v>0</v>
      </c>
      <c r="E61" s="290">
        <f>SUM(E62:E68)</f>
        <v>0</v>
      </c>
      <c r="F61" s="290">
        <f>SUM(F62:F68)</f>
        <v>0</v>
      </c>
      <c r="G61" s="449">
        <f t="shared" si="2"/>
        <v>0</v>
      </c>
    </row>
    <row r="62" spans="1:7" x14ac:dyDescent="0.25">
      <c r="A62" s="1112" t="s">
        <v>515</v>
      </c>
      <c r="B62" s="289"/>
      <c r="C62" s="289"/>
      <c r="D62" s="290">
        <f t="shared" si="3"/>
        <v>0</v>
      </c>
      <c r="E62" s="289"/>
      <c r="F62" s="289"/>
      <c r="G62" s="449">
        <f t="shared" si="2"/>
        <v>0</v>
      </c>
    </row>
    <row r="63" spans="1:7" ht="15.75" thickBot="1" x14ac:dyDescent="0.3">
      <c r="A63" s="1113" t="s">
        <v>516</v>
      </c>
      <c r="B63" s="1048"/>
      <c r="C63" s="1048"/>
      <c r="D63" s="1049">
        <f t="shared" si="3"/>
        <v>0</v>
      </c>
      <c r="E63" s="1048"/>
      <c r="F63" s="1048"/>
      <c r="G63" s="450">
        <f t="shared" si="2"/>
        <v>0</v>
      </c>
    </row>
    <row r="64" spans="1:7" x14ac:dyDescent="0.25">
      <c r="A64" s="1112" t="s">
        <v>517</v>
      </c>
      <c r="B64" s="289"/>
      <c r="C64" s="289"/>
      <c r="D64" s="290">
        <f t="shared" si="3"/>
        <v>0</v>
      </c>
      <c r="E64" s="289"/>
      <c r="F64" s="289"/>
      <c r="G64" s="449">
        <f t="shared" si="2"/>
        <v>0</v>
      </c>
    </row>
    <row r="65" spans="1:7" x14ac:dyDescent="0.25">
      <c r="A65" s="1112" t="s">
        <v>518</v>
      </c>
      <c r="B65" s="289"/>
      <c r="C65" s="289"/>
      <c r="D65" s="290">
        <f t="shared" si="3"/>
        <v>0</v>
      </c>
      <c r="E65" s="289"/>
      <c r="F65" s="289"/>
      <c r="G65" s="449">
        <f t="shared" si="2"/>
        <v>0</v>
      </c>
    </row>
    <row r="66" spans="1:7" x14ac:dyDescent="0.25">
      <c r="A66" s="1112" t="s">
        <v>519</v>
      </c>
      <c r="B66" s="289"/>
      <c r="C66" s="289"/>
      <c r="D66" s="290">
        <f t="shared" si="3"/>
        <v>0</v>
      </c>
      <c r="E66" s="289"/>
      <c r="F66" s="289"/>
      <c r="G66" s="449">
        <f t="shared" si="2"/>
        <v>0</v>
      </c>
    </row>
    <row r="67" spans="1:7" x14ac:dyDescent="0.25">
      <c r="A67" s="1112" t="s">
        <v>520</v>
      </c>
      <c r="B67" s="289"/>
      <c r="C67" s="289"/>
      <c r="D67" s="290">
        <f t="shared" si="3"/>
        <v>0</v>
      </c>
      <c r="E67" s="289"/>
      <c r="F67" s="289"/>
      <c r="G67" s="449">
        <f t="shared" si="2"/>
        <v>0</v>
      </c>
    </row>
    <row r="68" spans="1:7" x14ac:dyDescent="0.25">
      <c r="A68" s="1112" t="s">
        <v>521</v>
      </c>
      <c r="B68" s="289"/>
      <c r="C68" s="289"/>
      <c r="D68" s="290">
        <f t="shared" si="3"/>
        <v>0</v>
      </c>
      <c r="E68" s="289"/>
      <c r="F68" s="289"/>
      <c r="G68" s="449">
        <f t="shared" si="2"/>
        <v>0</v>
      </c>
    </row>
    <row r="69" spans="1:7" x14ac:dyDescent="0.25">
      <c r="A69" s="447" t="s">
        <v>203</v>
      </c>
      <c r="B69" s="290">
        <f>SUM(B70:B72)</f>
        <v>0</v>
      </c>
      <c r="C69" s="290">
        <f>SUM(C70:C72)</f>
        <v>0</v>
      </c>
      <c r="D69" s="290">
        <f>B69+C69</f>
        <v>0</v>
      </c>
      <c r="E69" s="290">
        <f>SUM(E70:E72)</f>
        <v>0</v>
      </c>
      <c r="F69" s="290">
        <f>SUM(F70:F72)</f>
        <v>0</v>
      </c>
      <c r="G69" s="449">
        <f t="shared" si="2"/>
        <v>0</v>
      </c>
    </row>
    <row r="70" spans="1:7" x14ac:dyDescent="0.25">
      <c r="A70" s="1112" t="s">
        <v>226</v>
      </c>
      <c r="B70" s="289"/>
      <c r="C70" s="289"/>
      <c r="D70" s="290">
        <f t="shared" si="3"/>
        <v>0</v>
      </c>
      <c r="E70" s="289"/>
      <c r="F70" s="289"/>
      <c r="G70" s="449">
        <f t="shared" si="2"/>
        <v>0</v>
      </c>
    </row>
    <row r="71" spans="1:7" x14ac:dyDescent="0.25">
      <c r="A71" s="1112" t="s">
        <v>67</v>
      </c>
      <c r="B71" s="289"/>
      <c r="C71" s="289"/>
      <c r="D71" s="290">
        <f t="shared" si="3"/>
        <v>0</v>
      </c>
      <c r="E71" s="289"/>
      <c r="F71" s="289"/>
      <c r="G71" s="449">
        <f t="shared" si="2"/>
        <v>0</v>
      </c>
    </row>
    <row r="72" spans="1:7" x14ac:dyDescent="0.25">
      <c r="A72" s="1112" t="s">
        <v>227</v>
      </c>
      <c r="B72" s="289"/>
      <c r="C72" s="289"/>
      <c r="D72" s="290">
        <f t="shared" si="3"/>
        <v>0</v>
      </c>
      <c r="E72" s="289"/>
      <c r="F72" s="289"/>
      <c r="G72" s="449">
        <f t="shared" si="2"/>
        <v>0</v>
      </c>
    </row>
    <row r="73" spans="1:7" x14ac:dyDescent="0.25">
      <c r="A73" s="447" t="s">
        <v>522</v>
      </c>
      <c r="B73" s="290">
        <f>SUM(B74:B80)</f>
        <v>0</v>
      </c>
      <c r="C73" s="290">
        <f>SUM(C74:C80)</f>
        <v>0</v>
      </c>
      <c r="D73" s="290">
        <f>B73+C73</f>
        <v>0</v>
      </c>
      <c r="E73" s="290">
        <f>SUM(E74:E80)</f>
        <v>0</v>
      </c>
      <c r="F73" s="290">
        <f>SUM(F74:F80)</f>
        <v>0</v>
      </c>
      <c r="G73" s="449">
        <f t="shared" si="2"/>
        <v>0</v>
      </c>
    </row>
    <row r="74" spans="1:7" x14ac:dyDescent="0.25">
      <c r="A74" s="1112" t="s">
        <v>523</v>
      </c>
      <c r="B74" s="289"/>
      <c r="C74" s="289"/>
      <c r="D74" s="290">
        <f t="shared" ref="D74:D80" si="4">B74+C74</f>
        <v>0</v>
      </c>
      <c r="E74" s="289"/>
      <c r="F74" s="289"/>
      <c r="G74" s="449">
        <f t="shared" ref="G74:G80" si="5">D74-E74</f>
        <v>0</v>
      </c>
    </row>
    <row r="75" spans="1:7" x14ac:dyDescent="0.25">
      <c r="A75" s="1112" t="s">
        <v>229</v>
      </c>
      <c r="B75" s="289"/>
      <c r="C75" s="289"/>
      <c r="D75" s="290">
        <f t="shared" si="4"/>
        <v>0</v>
      </c>
      <c r="E75" s="289"/>
      <c r="F75" s="289"/>
      <c r="G75" s="449">
        <f t="shared" si="5"/>
        <v>0</v>
      </c>
    </row>
    <row r="76" spans="1:7" x14ac:dyDescent="0.25">
      <c r="A76" s="1112" t="s">
        <v>230</v>
      </c>
      <c r="B76" s="289"/>
      <c r="C76" s="289"/>
      <c r="D76" s="290">
        <f t="shared" si="4"/>
        <v>0</v>
      </c>
      <c r="E76" s="289"/>
      <c r="F76" s="289"/>
      <c r="G76" s="449">
        <f t="shared" si="5"/>
        <v>0</v>
      </c>
    </row>
    <row r="77" spans="1:7" x14ac:dyDescent="0.25">
      <c r="A77" s="1112" t="s">
        <v>231</v>
      </c>
      <c r="B77" s="289"/>
      <c r="C77" s="289"/>
      <c r="D77" s="290">
        <f t="shared" si="4"/>
        <v>0</v>
      </c>
      <c r="E77" s="289"/>
      <c r="F77" s="289"/>
      <c r="G77" s="449">
        <f t="shared" si="5"/>
        <v>0</v>
      </c>
    </row>
    <row r="78" spans="1:7" x14ac:dyDescent="0.25">
      <c r="A78" s="1112" t="s">
        <v>232</v>
      </c>
      <c r="B78" s="1153"/>
      <c r="C78" s="1153"/>
      <c r="D78" s="1154">
        <f t="shared" si="4"/>
        <v>0</v>
      </c>
      <c r="E78" s="1153"/>
      <c r="F78" s="1153"/>
      <c r="G78" s="449">
        <f t="shared" si="5"/>
        <v>0</v>
      </c>
    </row>
    <row r="79" spans="1:7" x14ac:dyDescent="0.25">
      <c r="A79" s="1112" t="s">
        <v>233</v>
      </c>
      <c r="B79" s="1153"/>
      <c r="C79" s="1153"/>
      <c r="D79" s="1154">
        <f t="shared" si="4"/>
        <v>0</v>
      </c>
      <c r="E79" s="1153"/>
      <c r="F79" s="1153"/>
      <c r="G79" s="449">
        <f t="shared" si="5"/>
        <v>0</v>
      </c>
    </row>
    <row r="80" spans="1:7" ht="15.75" thickBot="1" x14ac:dyDescent="0.3">
      <c r="A80" s="1113" t="s">
        <v>524</v>
      </c>
      <c r="B80" s="1155"/>
      <c r="C80" s="1155"/>
      <c r="D80" s="1156">
        <f t="shared" si="4"/>
        <v>0</v>
      </c>
      <c r="E80" s="1155"/>
      <c r="F80" s="1155"/>
      <c r="G80" s="450">
        <f t="shared" si="5"/>
        <v>0</v>
      </c>
    </row>
    <row r="81" spans="1:7" ht="15.75" thickBot="1" x14ac:dyDescent="0.3">
      <c r="A81" s="448" t="s">
        <v>525</v>
      </c>
      <c r="B81" s="424">
        <f t="shared" ref="B81:G81" si="6">B73+B69+B61+B57+B47+B37+B27+B17+B9</f>
        <v>32253060.079999998</v>
      </c>
      <c r="C81" s="424">
        <f t="shared" si="6"/>
        <v>4996155.3999999994</v>
      </c>
      <c r="D81" s="424">
        <f t="shared" si="6"/>
        <v>37249215.480000004</v>
      </c>
      <c r="E81" s="424">
        <f t="shared" si="6"/>
        <v>34881677.560000002</v>
      </c>
      <c r="F81" s="424">
        <f t="shared" si="6"/>
        <v>33580086.640000001</v>
      </c>
      <c r="G81" s="424">
        <f t="shared" si="6"/>
        <v>2367537.92</v>
      </c>
    </row>
    <row r="82" spans="1:7" x14ac:dyDescent="0.25">
      <c r="A82" s="555"/>
      <c r="B82" s="556"/>
      <c r="C82" s="556"/>
      <c r="D82" s="556"/>
      <c r="E82" s="556"/>
      <c r="F82" s="556"/>
      <c r="G82" s="556"/>
    </row>
    <row r="83" spans="1:7" x14ac:dyDescent="0.25">
      <c r="A83" s="555"/>
      <c r="B83" s="556"/>
      <c r="C83" s="556"/>
      <c r="D83" s="556"/>
      <c r="E83" s="556"/>
      <c r="F83" s="556"/>
      <c r="G83" s="556"/>
    </row>
    <row r="84" spans="1:7" x14ac:dyDescent="0.25">
      <c r="A84" s="555"/>
      <c r="B84" s="556"/>
      <c r="C84" s="556"/>
      <c r="D84" s="556"/>
      <c r="E84" s="556"/>
      <c r="F84" s="556"/>
      <c r="G84" s="556"/>
    </row>
    <row r="85" spans="1:7" x14ac:dyDescent="0.25">
      <c r="A85" s="555"/>
      <c r="B85" s="556"/>
      <c r="C85" s="556"/>
      <c r="D85" s="556"/>
      <c r="E85" s="556"/>
      <c r="F85" s="556"/>
      <c r="G85" s="556"/>
    </row>
    <row r="86" spans="1:7" x14ac:dyDescent="0.25">
      <c r="A86" s="555"/>
      <c r="B86" s="556"/>
      <c r="C86" s="556"/>
      <c r="D86" s="556"/>
      <c r="E86" s="556"/>
      <c r="F86" s="556"/>
      <c r="G86" s="556"/>
    </row>
    <row r="87" spans="1:7" x14ac:dyDescent="0.25">
      <c r="A87" s="555"/>
      <c r="B87" s="556"/>
      <c r="C87" s="556"/>
      <c r="D87" s="556"/>
      <c r="E87" s="556"/>
      <c r="F87" s="556"/>
      <c r="G87" s="556"/>
    </row>
    <row r="88" spans="1:7" ht="16.5" x14ac:dyDescent="0.25">
      <c r="A88" s="110"/>
      <c r="B88" s="110"/>
      <c r="C88" s="110"/>
      <c r="D88" s="110"/>
      <c r="E88" s="110"/>
      <c r="F88" s="110"/>
      <c r="G88" s="110"/>
    </row>
    <row r="89" spans="1:7" ht="16.5" x14ac:dyDescent="0.25">
      <c r="A89" s="110"/>
      <c r="B89" s="110"/>
      <c r="C89" s="110"/>
      <c r="D89" s="110"/>
      <c r="E89" s="110"/>
      <c r="F89" s="110"/>
      <c r="G89" s="110"/>
    </row>
    <row r="90" spans="1:7" ht="16.5" x14ac:dyDescent="0.25">
      <c r="A90" s="110"/>
      <c r="B90" s="110"/>
      <c r="C90" s="110"/>
      <c r="D90" s="110"/>
      <c r="E90" s="110"/>
      <c r="F90" s="110"/>
      <c r="G90" s="110"/>
    </row>
    <row r="91" spans="1:7" ht="16.5" x14ac:dyDescent="0.25">
      <c r="A91" s="110"/>
      <c r="B91" s="110"/>
      <c r="C91" s="110"/>
      <c r="D91" s="110"/>
      <c r="E91" s="110"/>
      <c r="F91" s="110"/>
      <c r="G91" s="110"/>
    </row>
  </sheetData>
  <sheetProtection formatColumns="0" formatRows="0"/>
  <mergeCells count="7">
    <mergeCell ref="A7:A8"/>
    <mergeCell ref="A1:G1"/>
    <mergeCell ref="A2:G2"/>
    <mergeCell ref="A3:G3"/>
    <mergeCell ref="A4:G4"/>
    <mergeCell ref="A5:G5"/>
    <mergeCell ref="A6:E6"/>
  </mergeCells>
  <pageMargins left="0.70866141732283472" right="0.70866141732283472" top="0.74803149606299213" bottom="0.74803149606299213" header="0.31496062992125984" footer="0.31496062992125984"/>
  <pageSetup scale="67" orientation="portrait" r:id="rId1"/>
  <rowBreaks count="1" manualBreakCount="1">
    <brk id="6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view="pageBreakPreview" zoomScale="148" zoomScaleNormal="100" zoomScaleSheetLayoutView="148" workbookViewId="0">
      <selection activeCell="H10" sqref="H10"/>
    </sheetView>
  </sheetViews>
  <sheetFormatPr baseColWidth="10" defaultRowHeight="15" x14ac:dyDescent="0.25"/>
  <cols>
    <col min="1" max="1" width="6.140625" customWidth="1"/>
    <col min="2" max="2" width="47.85546875" customWidth="1"/>
    <col min="5" max="5" width="12.5703125" customWidth="1"/>
  </cols>
  <sheetData>
    <row r="1" spans="1:8" ht="15.75" x14ac:dyDescent="0.25">
      <c r="A1" s="1433" t="s">
        <v>1028</v>
      </c>
      <c r="B1" s="1434"/>
      <c r="C1" s="1434"/>
      <c r="D1" s="1434"/>
      <c r="E1" s="1434"/>
      <c r="F1" s="1434"/>
      <c r="G1" s="1434"/>
      <c r="H1" s="1435"/>
    </row>
    <row r="2" spans="1:8" x14ac:dyDescent="0.25">
      <c r="A2" s="1436" t="s">
        <v>526</v>
      </c>
      <c r="B2" s="1437"/>
      <c r="C2" s="1437"/>
      <c r="D2" s="1437"/>
      <c r="E2" s="1437"/>
      <c r="F2" s="1437"/>
      <c r="G2" s="1437"/>
      <c r="H2" s="1438"/>
    </row>
    <row r="3" spans="1:8" x14ac:dyDescent="0.25">
      <c r="A3" s="1436" t="s">
        <v>527</v>
      </c>
      <c r="B3" s="1437"/>
      <c r="C3" s="1437"/>
      <c r="D3" s="1437"/>
      <c r="E3" s="1437"/>
      <c r="F3" s="1437"/>
      <c r="G3" s="1437"/>
      <c r="H3" s="1438"/>
    </row>
    <row r="5" spans="1:8" x14ac:dyDescent="0.25">
      <c r="A5" s="1436" t="str">
        <f>'CPCA-II-02'!A4:I4</f>
        <v>Del 01 de ENERO al 31 de DICIEMBRE de 2024</v>
      </c>
      <c r="B5" s="1437"/>
      <c r="C5" s="1437"/>
      <c r="D5" s="1437"/>
      <c r="E5" s="1437"/>
      <c r="F5" s="1437"/>
      <c r="G5" s="1437"/>
      <c r="H5" s="1438"/>
    </row>
    <row r="6" spans="1:8" ht="15.75" thickBot="1" x14ac:dyDescent="0.3">
      <c r="A6" s="1422" t="s">
        <v>84</v>
      </c>
      <c r="B6" s="1431"/>
      <c r="C6" s="1431"/>
      <c r="D6" s="1431"/>
      <c r="E6" s="1431"/>
      <c r="F6" s="1431"/>
      <c r="G6" s="1431"/>
      <c r="H6" s="1432"/>
    </row>
    <row r="7" spans="1:8" ht="15.75" thickBot="1" x14ac:dyDescent="0.3">
      <c r="A7" s="1420" t="s">
        <v>85</v>
      </c>
      <c r="B7" s="1421"/>
      <c r="C7" s="1424" t="s">
        <v>528</v>
      </c>
      <c r="D7" s="1425"/>
      <c r="E7" s="1425"/>
      <c r="F7" s="1425"/>
      <c r="G7" s="1426"/>
      <c r="H7" s="1427" t="s">
        <v>529</v>
      </c>
    </row>
    <row r="8" spans="1:8" ht="36.75" thickBot="1" x14ac:dyDescent="0.3">
      <c r="A8" s="1422"/>
      <c r="B8" s="1423"/>
      <c r="C8" s="795" t="s">
        <v>530</v>
      </c>
      <c r="D8" s="674" t="s">
        <v>531</v>
      </c>
      <c r="E8" s="795" t="s">
        <v>532</v>
      </c>
      <c r="F8" s="795" t="s">
        <v>399</v>
      </c>
      <c r="G8" s="795" t="s">
        <v>533</v>
      </c>
      <c r="H8" s="1428"/>
    </row>
    <row r="9" spans="1:8" x14ac:dyDescent="0.25">
      <c r="A9" s="796"/>
      <c r="B9" s="722"/>
      <c r="C9" s="722"/>
      <c r="D9" s="723"/>
      <c r="E9" s="722"/>
      <c r="F9" s="722"/>
      <c r="G9" s="722"/>
      <c r="H9" s="724"/>
    </row>
    <row r="10" spans="1:8" x14ac:dyDescent="0.25">
      <c r="A10" s="1416" t="s">
        <v>534</v>
      </c>
      <c r="B10" s="1417"/>
      <c r="C10" s="668">
        <f t="shared" ref="C10:H10" si="0">+C11+C19+C29+C39+C49+C59+C63+C72+C76</f>
        <v>32253060.079999998</v>
      </c>
      <c r="D10" s="668">
        <f t="shared" si="0"/>
        <v>4996155.3999999994</v>
      </c>
      <c r="E10" s="668">
        <f t="shared" si="0"/>
        <v>37249215.479999997</v>
      </c>
      <c r="F10" s="668">
        <f t="shared" si="0"/>
        <v>34881677.560000002</v>
      </c>
      <c r="G10" s="668">
        <f t="shared" si="0"/>
        <v>33580086.640000001</v>
      </c>
      <c r="H10" s="668">
        <f t="shared" si="0"/>
        <v>2367537.92</v>
      </c>
    </row>
    <row r="11" spans="1:8" x14ac:dyDescent="0.25">
      <c r="A11" s="1418" t="s">
        <v>535</v>
      </c>
      <c r="B11" s="1419"/>
      <c r="C11" s="669">
        <f t="shared" ref="C11:H11" si="1">SUM(C12:C18)</f>
        <v>27044836.079999998</v>
      </c>
      <c r="D11" s="669">
        <f t="shared" si="1"/>
        <v>1459039.51</v>
      </c>
      <c r="E11" s="672">
        <f t="shared" si="1"/>
        <v>28503875.59</v>
      </c>
      <c r="F11" s="669">
        <f t="shared" si="1"/>
        <v>28503875.590000004</v>
      </c>
      <c r="G11" s="669">
        <f t="shared" si="1"/>
        <v>27207958.950000003</v>
      </c>
      <c r="H11" s="669">
        <f t="shared" si="1"/>
        <v>0</v>
      </c>
    </row>
    <row r="12" spans="1:8" x14ac:dyDescent="0.25">
      <c r="A12" s="794"/>
      <c r="B12" s="705" t="s">
        <v>536</v>
      </c>
      <c r="C12" s="671">
        <f>'CPCA II-04'!B10</f>
        <v>12617047.449999999</v>
      </c>
      <c r="D12" s="671">
        <f>'CPCA II-04'!C10</f>
        <v>401815.64</v>
      </c>
      <c r="E12" s="672">
        <f>C12+D12</f>
        <v>13018863.09</v>
      </c>
      <c r="F12" s="671">
        <f>'CPCA II-04'!E10</f>
        <v>13018863.09</v>
      </c>
      <c r="G12" s="671">
        <f>'CPCA II-04'!F10</f>
        <v>13018863.09</v>
      </c>
      <c r="H12" s="670">
        <f t="shared" ref="H12:H18" si="2">+E12-F12</f>
        <v>0</v>
      </c>
    </row>
    <row r="13" spans="1:8" x14ac:dyDescent="0.25">
      <c r="A13" s="794"/>
      <c r="B13" s="705" t="s">
        <v>537</v>
      </c>
      <c r="C13" s="671">
        <f>'CPCA II-04'!B11</f>
        <v>0</v>
      </c>
      <c r="D13" s="671">
        <f>'CPCA II-04'!C11</f>
        <v>0</v>
      </c>
      <c r="E13" s="672">
        <f t="shared" ref="E13:E77" si="3">C13+D13</f>
        <v>0</v>
      </c>
      <c r="F13" s="671">
        <f>'CPCA II-04'!E11</f>
        <v>0</v>
      </c>
      <c r="G13" s="671">
        <f>'CPCA II-04'!F11</f>
        <v>0</v>
      </c>
      <c r="H13" s="670">
        <f t="shared" si="2"/>
        <v>0</v>
      </c>
    </row>
    <row r="14" spans="1:8" x14ac:dyDescent="0.25">
      <c r="A14" s="794"/>
      <c r="B14" s="705" t="s">
        <v>538</v>
      </c>
      <c r="C14" s="671">
        <f>'CPCA II-04'!B12</f>
        <v>3488427.76</v>
      </c>
      <c r="D14" s="671">
        <f>'CPCA II-04'!C12</f>
        <v>309044.34000000003</v>
      </c>
      <c r="E14" s="672">
        <f t="shared" si="3"/>
        <v>3797472.0999999996</v>
      </c>
      <c r="F14" s="671">
        <f>'CPCA II-04'!E12</f>
        <v>3797472.1</v>
      </c>
      <c r="G14" s="671">
        <f>'CPCA II-04'!F12</f>
        <v>3797472.1</v>
      </c>
      <c r="H14" s="670">
        <f t="shared" si="2"/>
        <v>0</v>
      </c>
    </row>
    <row r="15" spans="1:8" x14ac:dyDescent="0.25">
      <c r="A15" s="794"/>
      <c r="B15" s="705" t="s">
        <v>539</v>
      </c>
      <c r="C15" s="671">
        <f>'CPCA II-04'!B13</f>
        <v>6091278.2400000002</v>
      </c>
      <c r="D15" s="671">
        <f>'CPCA II-04'!C13</f>
        <v>1093017.51</v>
      </c>
      <c r="E15" s="672">
        <f t="shared" si="3"/>
        <v>7184295.75</v>
      </c>
      <c r="F15" s="671">
        <f>'CPCA II-04'!E13</f>
        <v>7184295.75</v>
      </c>
      <c r="G15" s="671">
        <f>'CPCA II-04'!F13</f>
        <v>5994468.4699999997</v>
      </c>
      <c r="H15" s="670">
        <f t="shared" si="2"/>
        <v>0</v>
      </c>
    </row>
    <row r="16" spans="1:8" x14ac:dyDescent="0.25">
      <c r="A16" s="794"/>
      <c r="B16" s="705" t="s">
        <v>540</v>
      </c>
      <c r="C16" s="671">
        <f>'CPCA II-04'!B14</f>
        <v>2241549.16</v>
      </c>
      <c r="D16" s="671">
        <f>'CPCA II-04'!C14</f>
        <v>954638.53</v>
      </c>
      <c r="E16" s="672">
        <f t="shared" si="3"/>
        <v>3196187.6900000004</v>
      </c>
      <c r="F16" s="671">
        <f>'CPCA II-04'!E14</f>
        <v>3196187.69</v>
      </c>
      <c r="G16" s="671">
        <f>'CPCA II-04'!F14</f>
        <v>3090098.33</v>
      </c>
      <c r="H16" s="670">
        <f t="shared" si="2"/>
        <v>0</v>
      </c>
    </row>
    <row r="17" spans="1:8" x14ac:dyDescent="0.25">
      <c r="A17" s="794"/>
      <c r="B17" s="705" t="s">
        <v>541</v>
      </c>
      <c r="C17" s="671">
        <f>'CPCA II-04'!B15</f>
        <v>1274812.1100000001</v>
      </c>
      <c r="D17" s="671">
        <f>'CPCA II-04'!C15</f>
        <v>-1274812.1100000001</v>
      </c>
      <c r="E17" s="672">
        <f t="shared" si="3"/>
        <v>0</v>
      </c>
      <c r="F17" s="671">
        <f>'CPCA II-04'!E15</f>
        <v>0</v>
      </c>
      <c r="G17" s="671">
        <f>'CPCA II-04'!F15</f>
        <v>0</v>
      </c>
      <c r="H17" s="670">
        <f t="shared" si="2"/>
        <v>0</v>
      </c>
    </row>
    <row r="18" spans="1:8" x14ac:dyDescent="0.25">
      <c r="A18" s="794"/>
      <c r="B18" s="705" t="s">
        <v>542</v>
      </c>
      <c r="C18" s="671">
        <f>'CPCA II-04'!B16</f>
        <v>1331721.3600000001</v>
      </c>
      <c r="D18" s="671">
        <f>'CPCA II-04'!C16</f>
        <v>-24664.400000000001</v>
      </c>
      <c r="E18" s="672">
        <f t="shared" si="3"/>
        <v>1307056.9600000002</v>
      </c>
      <c r="F18" s="671">
        <f>'CPCA II-04'!E16</f>
        <v>1307056.96</v>
      </c>
      <c r="G18" s="671">
        <f>'CPCA II-04'!F16</f>
        <v>1307056.96</v>
      </c>
      <c r="H18" s="670">
        <f t="shared" si="2"/>
        <v>0</v>
      </c>
    </row>
    <row r="19" spans="1:8" x14ac:dyDescent="0.25">
      <c r="A19" s="1418" t="s">
        <v>543</v>
      </c>
      <c r="B19" s="1419"/>
      <c r="C19" s="669">
        <f t="shared" ref="C19:H19" si="4">SUM(C20:C28)</f>
        <v>750000</v>
      </c>
      <c r="D19" s="669">
        <f t="shared" si="4"/>
        <v>1074023.3700000001</v>
      </c>
      <c r="E19" s="672">
        <f t="shared" si="4"/>
        <v>1824023.37</v>
      </c>
      <c r="F19" s="669">
        <f t="shared" si="4"/>
        <v>1845778.03</v>
      </c>
      <c r="G19" s="669">
        <f t="shared" si="4"/>
        <v>1840103.75</v>
      </c>
      <c r="H19" s="669">
        <f t="shared" si="4"/>
        <v>-21754.659999999931</v>
      </c>
    </row>
    <row r="20" spans="1:8" x14ac:dyDescent="0.25">
      <c r="A20" s="794"/>
      <c r="B20" s="705" t="s">
        <v>544</v>
      </c>
      <c r="C20" s="671">
        <f>'CPCA II-04'!B18</f>
        <v>291000</v>
      </c>
      <c r="D20" s="671">
        <f>'CPCA II-04'!C18</f>
        <v>144302.44</v>
      </c>
      <c r="E20" s="672">
        <f t="shared" si="3"/>
        <v>435302.44</v>
      </c>
      <c r="F20" s="671">
        <f>'CPCA II-04'!E18</f>
        <v>440253.58</v>
      </c>
      <c r="G20" s="671">
        <f>'CPCA II-04'!F18</f>
        <v>440253.58</v>
      </c>
      <c r="H20" s="670">
        <f t="shared" ref="H20:H83" si="5">+E20-F20</f>
        <v>-4951.140000000014</v>
      </c>
    </row>
    <row r="21" spans="1:8" x14ac:dyDescent="0.25">
      <c r="A21" s="794"/>
      <c r="B21" s="705" t="s">
        <v>545</v>
      </c>
      <c r="C21" s="671">
        <f>'CPCA II-04'!B19</f>
        <v>40000</v>
      </c>
      <c r="D21" s="671">
        <f>'CPCA II-04'!C19</f>
        <v>71072.2</v>
      </c>
      <c r="E21" s="672">
        <f t="shared" si="3"/>
        <v>111072.2</v>
      </c>
      <c r="F21" s="671">
        <f>'CPCA II-04'!E19</f>
        <v>123706.95</v>
      </c>
      <c r="G21" s="671">
        <f>'CPCA II-04'!F19</f>
        <v>123706.95</v>
      </c>
      <c r="H21" s="670">
        <f t="shared" si="5"/>
        <v>-12634.75</v>
      </c>
    </row>
    <row r="22" spans="1:8" x14ac:dyDescent="0.25">
      <c r="A22" s="794"/>
      <c r="B22" s="705" t="s">
        <v>546</v>
      </c>
      <c r="C22" s="671">
        <f>'CPCA II-04'!B20</f>
        <v>0</v>
      </c>
      <c r="D22" s="671">
        <f>'CPCA II-04'!C20</f>
        <v>0</v>
      </c>
      <c r="E22" s="672">
        <f t="shared" si="3"/>
        <v>0</v>
      </c>
      <c r="F22" s="671">
        <f>'CPCA II-04'!E20</f>
        <v>0</v>
      </c>
      <c r="G22" s="671">
        <f>'CPCA II-04'!F20</f>
        <v>0</v>
      </c>
      <c r="H22" s="670">
        <f t="shared" si="5"/>
        <v>0</v>
      </c>
    </row>
    <row r="23" spans="1:8" x14ac:dyDescent="0.25">
      <c r="A23" s="794"/>
      <c r="B23" s="705" t="s">
        <v>547</v>
      </c>
      <c r="C23" s="671">
        <f>'CPCA II-04'!B21</f>
        <v>95000</v>
      </c>
      <c r="D23" s="671">
        <f>'CPCA II-04'!C21</f>
        <v>655169.05000000005</v>
      </c>
      <c r="E23" s="672">
        <f t="shared" si="3"/>
        <v>750169.05</v>
      </c>
      <c r="F23" s="671">
        <f>'CPCA II-04'!E21</f>
        <v>770072.73</v>
      </c>
      <c r="G23" s="671">
        <f>'CPCA II-04'!F21</f>
        <v>770072.73</v>
      </c>
      <c r="H23" s="670">
        <f t="shared" si="5"/>
        <v>-19903.679999999935</v>
      </c>
    </row>
    <row r="24" spans="1:8" x14ac:dyDescent="0.25">
      <c r="A24" s="794"/>
      <c r="B24" s="705" t="s">
        <v>548</v>
      </c>
      <c r="C24" s="671">
        <f>'CPCA II-04'!B22</f>
        <v>0</v>
      </c>
      <c r="D24" s="671">
        <f>'CPCA II-04'!C22</f>
        <v>0</v>
      </c>
      <c r="E24" s="672">
        <f t="shared" si="3"/>
        <v>0</v>
      </c>
      <c r="F24" s="671">
        <f>'CPCA II-04'!E22</f>
        <v>0</v>
      </c>
      <c r="G24" s="671">
        <f>'CPCA II-04'!F22</f>
        <v>0</v>
      </c>
      <c r="H24" s="670">
        <f t="shared" si="5"/>
        <v>0</v>
      </c>
    </row>
    <row r="25" spans="1:8" x14ac:dyDescent="0.25">
      <c r="A25" s="794"/>
      <c r="B25" s="705" t="s">
        <v>549</v>
      </c>
      <c r="C25" s="671">
        <f>'CPCA II-04'!B23</f>
        <v>150000</v>
      </c>
      <c r="D25" s="671">
        <f>'CPCA II-04'!C23</f>
        <v>230248.07</v>
      </c>
      <c r="E25" s="672">
        <f t="shared" si="3"/>
        <v>380248.07</v>
      </c>
      <c r="F25" s="671">
        <f>'CPCA II-04'!E23</f>
        <v>349585.67</v>
      </c>
      <c r="G25" s="671">
        <f>'CPCA II-04'!F23</f>
        <v>343911.39</v>
      </c>
      <c r="H25" s="670">
        <f t="shared" si="5"/>
        <v>30662.400000000023</v>
      </c>
    </row>
    <row r="26" spans="1:8" x14ac:dyDescent="0.25">
      <c r="A26" s="794"/>
      <c r="B26" s="705" t="s">
        <v>550</v>
      </c>
      <c r="C26" s="671">
        <f>'CPCA II-04'!B24</f>
        <v>24000</v>
      </c>
      <c r="D26" s="671">
        <f>'CPCA II-04'!C24</f>
        <v>12876.34</v>
      </c>
      <c r="E26" s="672">
        <f t="shared" si="3"/>
        <v>36876.339999999997</v>
      </c>
      <c r="F26" s="671">
        <f>'CPCA II-04'!E24</f>
        <v>36876.339999999997</v>
      </c>
      <c r="G26" s="671">
        <f>'CPCA II-04'!F24</f>
        <v>36876.339999999997</v>
      </c>
      <c r="H26" s="670">
        <f t="shared" si="5"/>
        <v>0</v>
      </c>
    </row>
    <row r="27" spans="1:8" x14ac:dyDescent="0.25">
      <c r="A27" s="794"/>
      <c r="B27" s="705" t="s">
        <v>551</v>
      </c>
      <c r="C27" s="671">
        <f>'CPCA II-04'!B25</f>
        <v>0</v>
      </c>
      <c r="D27" s="671">
        <f>'CPCA II-04'!C25</f>
        <v>0</v>
      </c>
      <c r="E27" s="672">
        <f t="shared" si="3"/>
        <v>0</v>
      </c>
      <c r="F27" s="671">
        <f>'CPCA II-04'!E25</f>
        <v>0</v>
      </c>
      <c r="G27" s="671">
        <f>'CPCA II-04'!F25</f>
        <v>0</v>
      </c>
      <c r="H27" s="670">
        <f t="shared" si="5"/>
        <v>0</v>
      </c>
    </row>
    <row r="28" spans="1:8" x14ac:dyDescent="0.25">
      <c r="A28" s="794"/>
      <c r="B28" s="705" t="s">
        <v>552</v>
      </c>
      <c r="C28" s="671">
        <f>'CPCA II-04'!B26</f>
        <v>150000</v>
      </c>
      <c r="D28" s="671">
        <f>'CPCA II-04'!C26</f>
        <v>-39644.730000000003</v>
      </c>
      <c r="E28" s="672">
        <f t="shared" si="3"/>
        <v>110355.26999999999</v>
      </c>
      <c r="F28" s="671">
        <f>'CPCA II-04'!E26</f>
        <v>125282.76</v>
      </c>
      <c r="G28" s="671">
        <f>'CPCA II-04'!F26</f>
        <v>125282.76</v>
      </c>
      <c r="H28" s="670">
        <f t="shared" si="5"/>
        <v>-14927.490000000005</v>
      </c>
    </row>
    <row r="29" spans="1:8" x14ac:dyDescent="0.25">
      <c r="A29" s="1418" t="s">
        <v>553</v>
      </c>
      <c r="B29" s="1419"/>
      <c r="C29" s="669">
        <f t="shared" ref="C29:H29" si="6">SUM(C30:C38)</f>
        <v>3699224</v>
      </c>
      <c r="D29" s="669">
        <f t="shared" si="6"/>
        <v>1326637.22</v>
      </c>
      <c r="E29" s="672">
        <f t="shared" si="6"/>
        <v>5025861.22</v>
      </c>
      <c r="F29" s="669">
        <f t="shared" si="6"/>
        <v>4184734.0399999996</v>
      </c>
      <c r="G29" s="669">
        <f t="shared" si="6"/>
        <v>4184734.0399999996</v>
      </c>
      <c r="H29" s="669">
        <f t="shared" si="6"/>
        <v>841127.17999999993</v>
      </c>
    </row>
    <row r="30" spans="1:8" x14ac:dyDescent="0.25">
      <c r="A30" s="794"/>
      <c r="B30" s="705" t="s">
        <v>554</v>
      </c>
      <c r="C30" s="671">
        <f>'CPCA II-04'!B28</f>
        <v>981000</v>
      </c>
      <c r="D30" s="671">
        <f>'CPCA II-04'!C28</f>
        <v>-15044.82</v>
      </c>
      <c r="E30" s="672">
        <f t="shared" si="3"/>
        <v>965955.18</v>
      </c>
      <c r="F30" s="671">
        <f>'CPCA II-04'!E28</f>
        <v>949731.38</v>
      </c>
      <c r="G30" s="671">
        <f>'CPCA II-04'!F28</f>
        <v>949731.38</v>
      </c>
      <c r="H30" s="670">
        <f t="shared" si="5"/>
        <v>16223.800000000047</v>
      </c>
    </row>
    <row r="31" spans="1:8" x14ac:dyDescent="0.25">
      <c r="A31" s="794"/>
      <c r="B31" s="705" t="s">
        <v>555</v>
      </c>
      <c r="C31" s="671">
        <f>'CPCA II-04'!B29</f>
        <v>71000</v>
      </c>
      <c r="D31" s="671">
        <f>'CPCA II-04'!C29</f>
        <v>97892.59</v>
      </c>
      <c r="E31" s="672">
        <f t="shared" si="3"/>
        <v>168892.59</v>
      </c>
      <c r="F31" s="671">
        <f>'CPCA II-04'!E29</f>
        <v>140664.20000000001</v>
      </c>
      <c r="G31" s="671">
        <f>'CPCA II-04'!F29</f>
        <v>140664.20000000001</v>
      </c>
      <c r="H31" s="670">
        <f t="shared" si="5"/>
        <v>28228.389999999985</v>
      </c>
    </row>
    <row r="32" spans="1:8" x14ac:dyDescent="0.25">
      <c r="A32" s="794"/>
      <c r="B32" s="705" t="s">
        <v>556</v>
      </c>
      <c r="C32" s="671">
        <f>'CPCA II-04'!B30</f>
        <v>730000</v>
      </c>
      <c r="D32" s="671">
        <f>'CPCA II-04'!C30</f>
        <v>-8251.2900000000009</v>
      </c>
      <c r="E32" s="672">
        <f t="shared" si="3"/>
        <v>721748.71</v>
      </c>
      <c r="F32" s="671">
        <f>'CPCA II-04'!E30</f>
        <v>660585.23</v>
      </c>
      <c r="G32" s="671">
        <f>'CPCA II-04'!F30</f>
        <v>660585.23</v>
      </c>
      <c r="H32" s="670">
        <f t="shared" si="5"/>
        <v>61163.479999999981</v>
      </c>
    </row>
    <row r="33" spans="1:8" x14ac:dyDescent="0.25">
      <c r="A33" s="794"/>
      <c r="B33" s="705" t="s">
        <v>557</v>
      </c>
      <c r="C33" s="671">
        <f>'CPCA II-04'!B31</f>
        <v>115000</v>
      </c>
      <c r="D33" s="671">
        <f>'CPCA II-04'!C31</f>
        <v>-37199.81</v>
      </c>
      <c r="E33" s="672">
        <f t="shared" si="3"/>
        <v>77800.19</v>
      </c>
      <c r="F33" s="671">
        <f>'CPCA II-04'!E31</f>
        <v>55783.77</v>
      </c>
      <c r="G33" s="671">
        <f>'CPCA II-04'!F31</f>
        <v>55783.77</v>
      </c>
      <c r="H33" s="670">
        <f t="shared" si="5"/>
        <v>22016.420000000006</v>
      </c>
    </row>
    <row r="34" spans="1:8" x14ac:dyDescent="0.25">
      <c r="A34" s="794"/>
      <c r="B34" s="705" t="s">
        <v>558</v>
      </c>
      <c r="C34" s="671">
        <f>'CPCA II-04'!B32</f>
        <v>504000</v>
      </c>
      <c r="D34" s="671">
        <f>'CPCA II-04'!C32</f>
        <v>454027.12</v>
      </c>
      <c r="E34" s="672">
        <f t="shared" si="3"/>
        <v>958027.12</v>
      </c>
      <c r="F34" s="671">
        <f>'CPCA II-04'!E32</f>
        <v>912994.17</v>
      </c>
      <c r="G34" s="671">
        <f>'CPCA II-04'!F32</f>
        <v>912994.17</v>
      </c>
      <c r="H34" s="670">
        <f t="shared" si="5"/>
        <v>45032.949999999953</v>
      </c>
    </row>
    <row r="35" spans="1:8" x14ac:dyDescent="0.25">
      <c r="A35" s="794"/>
      <c r="B35" s="705" t="s">
        <v>559</v>
      </c>
      <c r="C35" s="671">
        <f>'CPCA II-04'!B33</f>
        <v>0</v>
      </c>
      <c r="D35" s="671">
        <f>'CPCA II-04'!C33</f>
        <v>0</v>
      </c>
      <c r="E35" s="672">
        <f t="shared" si="3"/>
        <v>0</v>
      </c>
      <c r="F35" s="671">
        <f>'CPCA II-04'!E33</f>
        <v>0</v>
      </c>
      <c r="G35" s="671">
        <f>'CPCA II-04'!F33</f>
        <v>0</v>
      </c>
      <c r="H35" s="670">
        <f t="shared" si="5"/>
        <v>0</v>
      </c>
    </row>
    <row r="36" spans="1:8" x14ac:dyDescent="0.25">
      <c r="A36" s="794"/>
      <c r="B36" s="705" t="s">
        <v>560</v>
      </c>
      <c r="C36" s="671">
        <f>'CPCA II-04'!B34</f>
        <v>329000</v>
      </c>
      <c r="D36" s="671">
        <f>'CPCA II-04'!C34</f>
        <v>374332.47</v>
      </c>
      <c r="E36" s="672">
        <f t="shared" si="3"/>
        <v>703332.47</v>
      </c>
      <c r="F36" s="671">
        <f>'CPCA II-04'!E34</f>
        <v>661642.47</v>
      </c>
      <c r="G36" s="671">
        <f>'CPCA II-04'!F34</f>
        <v>661642.47</v>
      </c>
      <c r="H36" s="670">
        <f t="shared" si="5"/>
        <v>41690</v>
      </c>
    </row>
    <row r="37" spans="1:8" x14ac:dyDescent="0.25">
      <c r="A37" s="794"/>
      <c r="B37" s="705" t="s">
        <v>561</v>
      </c>
      <c r="C37" s="671">
        <f>'CPCA II-04'!B35</f>
        <v>0</v>
      </c>
      <c r="D37" s="671">
        <f>'CPCA II-04'!C35</f>
        <v>242461.95</v>
      </c>
      <c r="E37" s="672">
        <f t="shared" si="3"/>
        <v>242461.95</v>
      </c>
      <c r="F37" s="671">
        <f>'CPCA II-04'!E35</f>
        <v>246098.32</v>
      </c>
      <c r="G37" s="671">
        <f>'CPCA II-04'!F35</f>
        <v>246098.32</v>
      </c>
      <c r="H37" s="670">
        <f t="shared" si="5"/>
        <v>-3636.3699999999953</v>
      </c>
    </row>
    <row r="38" spans="1:8" x14ac:dyDescent="0.25">
      <c r="A38" s="1002"/>
      <c r="B38" s="705" t="s">
        <v>562</v>
      </c>
      <c r="C38" s="671">
        <f>'CPCA II-04'!B36</f>
        <v>969224</v>
      </c>
      <c r="D38" s="671">
        <f>'CPCA II-04'!C36</f>
        <v>218419.01</v>
      </c>
      <c r="E38" s="672">
        <f t="shared" si="3"/>
        <v>1187643.01</v>
      </c>
      <c r="F38" s="671">
        <f>'CPCA II-04'!E36</f>
        <v>557234.5</v>
      </c>
      <c r="G38" s="671">
        <f>'CPCA II-04'!F36</f>
        <v>557234.5</v>
      </c>
      <c r="H38" s="670">
        <f t="shared" si="5"/>
        <v>630408.51</v>
      </c>
    </row>
    <row r="39" spans="1:8" x14ac:dyDescent="0.25">
      <c r="A39" s="1418" t="s">
        <v>563</v>
      </c>
      <c r="B39" s="1419"/>
      <c r="C39" s="669">
        <f t="shared" ref="C39:H39" si="7">SUM(C40:C48)</f>
        <v>0</v>
      </c>
      <c r="D39" s="669">
        <f t="shared" si="7"/>
        <v>0</v>
      </c>
      <c r="E39" s="669">
        <f t="shared" si="7"/>
        <v>0</v>
      </c>
      <c r="F39" s="669">
        <f t="shared" si="7"/>
        <v>0</v>
      </c>
      <c r="G39" s="669">
        <f t="shared" si="7"/>
        <v>0</v>
      </c>
      <c r="H39" s="669">
        <f t="shared" si="7"/>
        <v>0</v>
      </c>
    </row>
    <row r="40" spans="1:8" x14ac:dyDescent="0.25">
      <c r="A40" s="794"/>
      <c r="B40" s="705" t="s">
        <v>564</v>
      </c>
      <c r="C40" s="671"/>
      <c r="D40" s="671"/>
      <c r="E40" s="672">
        <f t="shared" si="3"/>
        <v>0</v>
      </c>
      <c r="F40" s="671"/>
      <c r="G40" s="671"/>
      <c r="H40" s="670">
        <f t="shared" si="5"/>
        <v>0</v>
      </c>
    </row>
    <row r="41" spans="1:8" x14ac:dyDescent="0.25">
      <c r="A41" s="794"/>
      <c r="B41" s="705" t="s">
        <v>565</v>
      </c>
      <c r="C41" s="671"/>
      <c r="D41" s="671"/>
      <c r="E41" s="672">
        <f t="shared" si="3"/>
        <v>0</v>
      </c>
      <c r="F41" s="671"/>
      <c r="G41" s="671"/>
      <c r="H41" s="670">
        <f t="shared" si="5"/>
        <v>0</v>
      </c>
    </row>
    <row r="42" spans="1:8" x14ac:dyDescent="0.25">
      <c r="A42" s="794"/>
      <c r="B42" s="705" t="s">
        <v>566</v>
      </c>
      <c r="C42" s="671"/>
      <c r="D42" s="671"/>
      <c r="E42" s="672">
        <f t="shared" si="3"/>
        <v>0</v>
      </c>
      <c r="F42" s="671"/>
      <c r="G42" s="671"/>
      <c r="H42" s="670">
        <f t="shared" si="5"/>
        <v>0</v>
      </c>
    </row>
    <row r="43" spans="1:8" x14ac:dyDescent="0.25">
      <c r="A43" s="794"/>
      <c r="B43" s="705" t="s">
        <v>567</v>
      </c>
      <c r="C43" s="671"/>
      <c r="D43" s="671"/>
      <c r="E43" s="672">
        <f t="shared" si="3"/>
        <v>0</v>
      </c>
      <c r="F43" s="671"/>
      <c r="G43" s="671"/>
      <c r="H43" s="670">
        <f t="shared" si="5"/>
        <v>0</v>
      </c>
    </row>
    <row r="44" spans="1:8" x14ac:dyDescent="0.25">
      <c r="A44" s="794"/>
      <c r="B44" s="705" t="s">
        <v>568</v>
      </c>
      <c r="C44" s="671"/>
      <c r="D44" s="671"/>
      <c r="E44" s="672">
        <f t="shared" si="3"/>
        <v>0</v>
      </c>
      <c r="F44" s="671"/>
      <c r="G44" s="671"/>
      <c r="H44" s="670">
        <f t="shared" si="5"/>
        <v>0</v>
      </c>
    </row>
    <row r="45" spans="1:8" x14ac:dyDescent="0.25">
      <c r="A45" s="794"/>
      <c r="B45" s="705" t="s">
        <v>569</v>
      </c>
      <c r="C45" s="671"/>
      <c r="D45" s="671"/>
      <c r="E45" s="672">
        <f t="shared" si="3"/>
        <v>0</v>
      </c>
      <c r="F45" s="671"/>
      <c r="G45" s="671"/>
      <c r="H45" s="670">
        <f t="shared" si="5"/>
        <v>0</v>
      </c>
    </row>
    <row r="46" spans="1:8" x14ac:dyDescent="0.25">
      <c r="A46" s="794"/>
      <c r="B46" s="705" t="s">
        <v>570</v>
      </c>
      <c r="C46" s="671"/>
      <c r="D46" s="671"/>
      <c r="E46" s="672">
        <f t="shared" si="3"/>
        <v>0</v>
      </c>
      <c r="F46" s="671"/>
      <c r="G46" s="671"/>
      <c r="H46" s="670">
        <f t="shared" si="5"/>
        <v>0</v>
      </c>
    </row>
    <row r="47" spans="1:8" x14ac:dyDescent="0.25">
      <c r="A47" s="794"/>
      <c r="B47" s="705" t="s">
        <v>571</v>
      </c>
      <c r="C47" s="671"/>
      <c r="D47" s="671"/>
      <c r="E47" s="672">
        <f t="shared" si="3"/>
        <v>0</v>
      </c>
      <c r="F47" s="671"/>
      <c r="G47" s="671"/>
      <c r="H47" s="670">
        <f t="shared" si="5"/>
        <v>0</v>
      </c>
    </row>
    <row r="48" spans="1:8" x14ac:dyDescent="0.25">
      <c r="A48" s="794"/>
      <c r="B48" s="705" t="s">
        <v>572</v>
      </c>
      <c r="C48" s="671"/>
      <c r="D48" s="671"/>
      <c r="E48" s="672">
        <f t="shared" si="3"/>
        <v>0</v>
      </c>
      <c r="F48" s="671"/>
      <c r="G48" s="671"/>
      <c r="H48" s="670">
        <f t="shared" si="5"/>
        <v>0</v>
      </c>
    </row>
    <row r="49" spans="1:8" x14ac:dyDescent="0.25">
      <c r="A49" s="1418" t="s">
        <v>573</v>
      </c>
      <c r="B49" s="1419"/>
      <c r="C49" s="669">
        <f t="shared" ref="C49:H49" si="8">SUM(C50:C58)</f>
        <v>759000</v>
      </c>
      <c r="D49" s="669">
        <f t="shared" si="8"/>
        <v>1136455.2999999998</v>
      </c>
      <c r="E49" s="672">
        <f t="shared" si="8"/>
        <v>1895455.2999999998</v>
      </c>
      <c r="F49" s="669">
        <f t="shared" si="8"/>
        <v>347289.9</v>
      </c>
      <c r="G49" s="669">
        <f t="shared" si="8"/>
        <v>347289.9</v>
      </c>
      <c r="H49" s="669">
        <f t="shared" si="8"/>
        <v>1548165.4</v>
      </c>
    </row>
    <row r="50" spans="1:8" x14ac:dyDescent="0.25">
      <c r="A50" s="794"/>
      <c r="B50" s="705" t="s">
        <v>574</v>
      </c>
      <c r="C50" s="671">
        <f>'CPCA II-04'!B48</f>
        <v>605000</v>
      </c>
      <c r="D50" s="671">
        <f>'CPCA II-04'!C48</f>
        <v>-363749.6</v>
      </c>
      <c r="E50" s="672">
        <f t="shared" si="3"/>
        <v>241250.40000000002</v>
      </c>
      <c r="F50" s="671">
        <f>'CPCA II-04'!E48</f>
        <v>255845.4</v>
      </c>
      <c r="G50" s="671">
        <f>'CPCA II-04'!F48</f>
        <v>255845.4</v>
      </c>
      <c r="H50" s="670">
        <f t="shared" si="5"/>
        <v>-14594.999999999971</v>
      </c>
    </row>
    <row r="51" spans="1:8" x14ac:dyDescent="0.25">
      <c r="A51" s="794"/>
      <c r="B51" s="705" t="s">
        <v>575</v>
      </c>
      <c r="C51" s="671">
        <v>0</v>
      </c>
      <c r="D51" s="671">
        <f>'CPCA II-04'!C49</f>
        <v>0</v>
      </c>
      <c r="E51" s="672">
        <f t="shared" si="3"/>
        <v>0</v>
      </c>
      <c r="F51" s="671">
        <f>'CPCA II-04'!E49</f>
        <v>0</v>
      </c>
      <c r="G51" s="671">
        <f>'CPCA II-04'!F49</f>
        <v>0</v>
      </c>
      <c r="H51" s="670">
        <f t="shared" si="5"/>
        <v>0</v>
      </c>
    </row>
    <row r="52" spans="1:8" x14ac:dyDescent="0.25">
      <c r="A52" s="794"/>
      <c r="B52" s="705" t="s">
        <v>576</v>
      </c>
      <c r="C52" s="671"/>
      <c r="D52" s="671"/>
      <c r="E52" s="672">
        <f t="shared" si="3"/>
        <v>0</v>
      </c>
      <c r="F52" s="671"/>
      <c r="G52" s="671"/>
      <c r="H52" s="670">
        <f t="shared" si="5"/>
        <v>0</v>
      </c>
    </row>
    <row r="53" spans="1:8" x14ac:dyDescent="0.25">
      <c r="A53" s="794"/>
      <c r="B53" s="705" t="s">
        <v>577</v>
      </c>
      <c r="C53" s="671"/>
      <c r="D53" s="671"/>
      <c r="E53" s="672">
        <f t="shared" si="3"/>
        <v>0</v>
      </c>
      <c r="F53" s="671"/>
      <c r="G53" s="671"/>
      <c r="H53" s="670">
        <f t="shared" si="5"/>
        <v>0</v>
      </c>
    </row>
    <row r="54" spans="1:8" x14ac:dyDescent="0.25">
      <c r="A54" s="794"/>
      <c r="B54" s="705" t="s">
        <v>578</v>
      </c>
      <c r="C54" s="671"/>
      <c r="D54" s="671"/>
      <c r="E54" s="672">
        <f t="shared" si="3"/>
        <v>0</v>
      </c>
      <c r="F54" s="671"/>
      <c r="G54" s="671"/>
      <c r="H54" s="670">
        <f t="shared" si="5"/>
        <v>0</v>
      </c>
    </row>
    <row r="55" spans="1:8" x14ac:dyDescent="0.25">
      <c r="A55" s="794"/>
      <c r="B55" s="705" t="s">
        <v>579</v>
      </c>
      <c r="C55" s="671">
        <f>'CPCA II-04'!B53</f>
        <v>154000</v>
      </c>
      <c r="D55" s="671">
        <f>'CPCA II-04'!C53</f>
        <v>1500204.9</v>
      </c>
      <c r="E55" s="672">
        <f t="shared" si="3"/>
        <v>1654204.9</v>
      </c>
      <c r="F55" s="671">
        <f>'CPCA II-04'!E53</f>
        <v>91444.5</v>
      </c>
      <c r="G55" s="671">
        <f>'CPCA II-04'!F53</f>
        <v>91444.5</v>
      </c>
      <c r="H55" s="670">
        <f t="shared" si="5"/>
        <v>1562760.4</v>
      </c>
    </row>
    <row r="56" spans="1:8" x14ac:dyDescent="0.25">
      <c r="A56" s="794"/>
      <c r="B56" s="705" t="s">
        <v>580</v>
      </c>
      <c r="C56" s="671"/>
      <c r="D56" s="671"/>
      <c r="E56" s="672">
        <f t="shared" si="3"/>
        <v>0</v>
      </c>
      <c r="F56" s="671"/>
      <c r="G56" s="671"/>
      <c r="H56" s="670">
        <f t="shared" si="5"/>
        <v>0</v>
      </c>
    </row>
    <row r="57" spans="1:8" x14ac:dyDescent="0.25">
      <c r="A57" s="794"/>
      <c r="B57" s="705" t="s">
        <v>581</v>
      </c>
      <c r="C57" s="671"/>
      <c r="D57" s="671"/>
      <c r="E57" s="672">
        <f t="shared" si="3"/>
        <v>0</v>
      </c>
      <c r="F57" s="671"/>
      <c r="G57" s="671"/>
      <c r="H57" s="670">
        <f t="shared" si="5"/>
        <v>0</v>
      </c>
    </row>
    <row r="58" spans="1:8" x14ac:dyDescent="0.25">
      <c r="A58" s="794"/>
      <c r="B58" s="705" t="s">
        <v>582</v>
      </c>
      <c r="C58" s="671"/>
      <c r="D58" s="671"/>
      <c r="E58" s="672">
        <f t="shared" si="3"/>
        <v>0</v>
      </c>
      <c r="F58" s="671"/>
      <c r="G58" s="671"/>
      <c r="H58" s="670">
        <f t="shared" si="5"/>
        <v>0</v>
      </c>
    </row>
    <row r="59" spans="1:8" x14ac:dyDescent="0.25">
      <c r="A59" s="1418" t="s">
        <v>583</v>
      </c>
      <c r="B59" s="1419"/>
      <c r="C59" s="669">
        <f t="shared" ref="C59:H59" si="9">SUM(C60:C62)</f>
        <v>0</v>
      </c>
      <c r="D59" s="669">
        <f t="shared" si="9"/>
        <v>0</v>
      </c>
      <c r="E59" s="672">
        <f t="shared" si="9"/>
        <v>0</v>
      </c>
      <c r="F59" s="669">
        <f t="shared" si="9"/>
        <v>0</v>
      </c>
      <c r="G59" s="669">
        <f t="shared" si="9"/>
        <v>0</v>
      </c>
      <c r="H59" s="669">
        <f t="shared" si="9"/>
        <v>0</v>
      </c>
    </row>
    <row r="60" spans="1:8" x14ac:dyDescent="0.25">
      <c r="A60" s="794"/>
      <c r="B60" s="705" t="s">
        <v>584</v>
      </c>
      <c r="C60" s="671"/>
      <c r="D60" s="671"/>
      <c r="E60" s="672">
        <f t="shared" si="3"/>
        <v>0</v>
      </c>
      <c r="F60" s="671"/>
      <c r="G60" s="671"/>
      <c r="H60" s="670">
        <f t="shared" si="5"/>
        <v>0</v>
      </c>
    </row>
    <row r="61" spans="1:8" x14ac:dyDescent="0.25">
      <c r="A61" s="794"/>
      <c r="B61" s="705" t="s">
        <v>585</v>
      </c>
      <c r="C61" s="671"/>
      <c r="D61" s="671"/>
      <c r="E61" s="672">
        <f t="shared" si="3"/>
        <v>0</v>
      </c>
      <c r="F61" s="671"/>
      <c r="G61" s="671"/>
      <c r="H61" s="670">
        <f t="shared" si="5"/>
        <v>0</v>
      </c>
    </row>
    <row r="62" spans="1:8" x14ac:dyDescent="0.25">
      <c r="A62" s="794"/>
      <c r="B62" s="705" t="s">
        <v>586</v>
      </c>
      <c r="C62" s="671"/>
      <c r="D62" s="671"/>
      <c r="E62" s="672">
        <f t="shared" si="3"/>
        <v>0</v>
      </c>
      <c r="F62" s="671"/>
      <c r="G62" s="671"/>
      <c r="H62" s="670">
        <f t="shared" si="5"/>
        <v>0</v>
      </c>
    </row>
    <row r="63" spans="1:8" x14ac:dyDescent="0.25">
      <c r="A63" s="1429" t="s">
        <v>587</v>
      </c>
      <c r="B63" s="1430"/>
      <c r="C63" s="1007">
        <f t="shared" ref="C63:H63" si="10">SUM(C64:C71)</f>
        <v>0</v>
      </c>
      <c r="D63" s="1007">
        <f t="shared" si="10"/>
        <v>0</v>
      </c>
      <c r="E63" s="1007">
        <f t="shared" si="10"/>
        <v>0</v>
      </c>
      <c r="F63" s="1007">
        <f t="shared" si="10"/>
        <v>0</v>
      </c>
      <c r="G63" s="1007">
        <f t="shared" si="10"/>
        <v>0</v>
      </c>
      <c r="H63" s="1007">
        <f t="shared" si="10"/>
        <v>0</v>
      </c>
    </row>
    <row r="64" spans="1:8" x14ac:dyDescent="0.25">
      <c r="A64" s="794"/>
      <c r="B64" s="705" t="s">
        <v>588</v>
      </c>
      <c r="C64" s="671"/>
      <c r="D64" s="671"/>
      <c r="E64" s="672">
        <f t="shared" si="3"/>
        <v>0</v>
      </c>
      <c r="F64" s="671"/>
      <c r="G64" s="671"/>
      <c r="H64" s="670">
        <f t="shared" si="5"/>
        <v>0</v>
      </c>
    </row>
    <row r="65" spans="1:8" x14ac:dyDescent="0.25">
      <c r="A65" s="794"/>
      <c r="B65" s="705" t="s">
        <v>589</v>
      </c>
      <c r="C65" s="671"/>
      <c r="D65" s="671"/>
      <c r="E65" s="672">
        <f t="shared" si="3"/>
        <v>0</v>
      </c>
      <c r="F65" s="671"/>
      <c r="G65" s="671"/>
      <c r="H65" s="670">
        <f t="shared" si="5"/>
        <v>0</v>
      </c>
    </row>
    <row r="66" spans="1:8" x14ac:dyDescent="0.25">
      <c r="A66" s="794"/>
      <c r="B66" s="705" t="s">
        <v>590</v>
      </c>
      <c r="C66" s="671"/>
      <c r="D66" s="671"/>
      <c r="E66" s="672">
        <f t="shared" si="3"/>
        <v>0</v>
      </c>
      <c r="F66" s="671"/>
      <c r="G66" s="671"/>
      <c r="H66" s="670">
        <f t="shared" si="5"/>
        <v>0</v>
      </c>
    </row>
    <row r="67" spans="1:8" x14ac:dyDescent="0.25">
      <c r="A67" s="794"/>
      <c r="B67" s="705" t="s">
        <v>591</v>
      </c>
      <c r="C67" s="671"/>
      <c r="D67" s="671"/>
      <c r="E67" s="672">
        <f t="shared" si="3"/>
        <v>0</v>
      </c>
      <c r="F67" s="671"/>
      <c r="G67" s="671"/>
      <c r="H67" s="670">
        <f t="shared" si="5"/>
        <v>0</v>
      </c>
    </row>
    <row r="68" spans="1:8" x14ac:dyDescent="0.25">
      <c r="A68" s="794"/>
      <c r="B68" s="705" t="s">
        <v>592</v>
      </c>
      <c r="C68" s="671"/>
      <c r="D68" s="671"/>
      <c r="E68" s="672">
        <f t="shared" si="3"/>
        <v>0</v>
      </c>
      <c r="F68" s="671"/>
      <c r="G68" s="671"/>
      <c r="H68" s="670">
        <f t="shared" si="5"/>
        <v>0</v>
      </c>
    </row>
    <row r="69" spans="1:8" x14ac:dyDescent="0.25">
      <c r="A69" s="794"/>
      <c r="B69" s="705" t="s">
        <v>593</v>
      </c>
      <c r="C69" s="671"/>
      <c r="D69" s="671"/>
      <c r="E69" s="672">
        <f t="shared" si="3"/>
        <v>0</v>
      </c>
      <c r="F69" s="671"/>
      <c r="G69" s="671"/>
      <c r="H69" s="670">
        <f t="shared" si="5"/>
        <v>0</v>
      </c>
    </row>
    <row r="70" spans="1:8" x14ac:dyDescent="0.25">
      <c r="A70" s="794"/>
      <c r="B70" s="705" t="s">
        <v>594</v>
      </c>
      <c r="C70" s="671"/>
      <c r="D70" s="671"/>
      <c r="E70" s="672">
        <f t="shared" si="3"/>
        <v>0</v>
      </c>
      <c r="F70" s="671"/>
      <c r="G70" s="671"/>
      <c r="H70" s="670">
        <f t="shared" si="5"/>
        <v>0</v>
      </c>
    </row>
    <row r="71" spans="1:8" x14ac:dyDescent="0.25">
      <c r="A71" s="794"/>
      <c r="B71" s="705" t="s">
        <v>595</v>
      </c>
      <c r="C71" s="671"/>
      <c r="D71" s="671"/>
      <c r="E71" s="672">
        <f t="shared" si="3"/>
        <v>0</v>
      </c>
      <c r="F71" s="671"/>
      <c r="G71" s="671"/>
      <c r="H71" s="670">
        <f t="shared" si="5"/>
        <v>0</v>
      </c>
    </row>
    <row r="72" spans="1:8" x14ac:dyDescent="0.25">
      <c r="A72" s="1418" t="s">
        <v>596</v>
      </c>
      <c r="B72" s="1419"/>
      <c r="C72" s="669">
        <f t="shared" ref="C72:H72" si="11">SUM(C73:C75)</f>
        <v>0</v>
      </c>
      <c r="D72" s="669">
        <f t="shared" si="11"/>
        <v>0</v>
      </c>
      <c r="E72" s="672">
        <f t="shared" si="11"/>
        <v>0</v>
      </c>
      <c r="F72" s="669">
        <f t="shared" si="11"/>
        <v>0</v>
      </c>
      <c r="G72" s="669">
        <f t="shared" si="11"/>
        <v>0</v>
      </c>
      <c r="H72" s="669">
        <f t="shared" si="11"/>
        <v>0</v>
      </c>
    </row>
    <row r="73" spans="1:8" x14ac:dyDescent="0.25">
      <c r="A73" s="1002"/>
      <c r="B73" s="705" t="s">
        <v>597</v>
      </c>
      <c r="C73" s="671"/>
      <c r="D73" s="671"/>
      <c r="E73" s="672">
        <f t="shared" si="3"/>
        <v>0</v>
      </c>
      <c r="F73" s="671"/>
      <c r="G73" s="671"/>
      <c r="H73" s="670">
        <f t="shared" si="5"/>
        <v>0</v>
      </c>
    </row>
    <row r="74" spans="1:8" x14ac:dyDescent="0.25">
      <c r="A74" s="794"/>
      <c r="B74" s="705" t="s">
        <v>598</v>
      </c>
      <c r="C74" s="671"/>
      <c r="D74" s="671"/>
      <c r="E74" s="672">
        <f t="shared" si="3"/>
        <v>0</v>
      </c>
      <c r="F74" s="671"/>
      <c r="G74" s="671"/>
      <c r="H74" s="670">
        <f t="shared" si="5"/>
        <v>0</v>
      </c>
    </row>
    <row r="75" spans="1:8" x14ac:dyDescent="0.25">
      <c r="A75" s="794"/>
      <c r="B75" s="705" t="s">
        <v>599</v>
      </c>
      <c r="C75" s="671"/>
      <c r="D75" s="671"/>
      <c r="E75" s="672">
        <f t="shared" si="3"/>
        <v>0</v>
      </c>
      <c r="F75" s="671"/>
      <c r="G75" s="671"/>
      <c r="H75" s="670">
        <f t="shared" si="5"/>
        <v>0</v>
      </c>
    </row>
    <row r="76" spans="1:8" x14ac:dyDescent="0.25">
      <c r="A76" s="1418" t="s">
        <v>600</v>
      </c>
      <c r="B76" s="1419"/>
      <c r="C76" s="669">
        <f t="shared" ref="C76:H76" si="12">SUM(C77:C83)</f>
        <v>0</v>
      </c>
      <c r="D76" s="669">
        <f t="shared" si="12"/>
        <v>0</v>
      </c>
      <c r="E76" s="672">
        <f t="shared" si="12"/>
        <v>0</v>
      </c>
      <c r="F76" s="669">
        <f t="shared" si="12"/>
        <v>0</v>
      </c>
      <c r="G76" s="669">
        <f t="shared" si="12"/>
        <v>0</v>
      </c>
      <c r="H76" s="669">
        <f t="shared" si="12"/>
        <v>0</v>
      </c>
    </row>
    <row r="77" spans="1:8" x14ac:dyDescent="0.25">
      <c r="A77" s="794"/>
      <c r="B77" s="705" t="s">
        <v>601</v>
      </c>
      <c r="C77" s="671"/>
      <c r="D77" s="671"/>
      <c r="E77" s="672">
        <f t="shared" si="3"/>
        <v>0</v>
      </c>
      <c r="F77" s="671"/>
      <c r="G77" s="671"/>
      <c r="H77" s="670">
        <f t="shared" si="5"/>
        <v>0</v>
      </c>
    </row>
    <row r="78" spans="1:8" x14ac:dyDescent="0.25">
      <c r="A78" s="794"/>
      <c r="B78" s="705" t="s">
        <v>602</v>
      </c>
      <c r="C78" s="671"/>
      <c r="D78" s="671"/>
      <c r="E78" s="672">
        <f t="shared" ref="E78:E83" si="13">C78+D78</f>
        <v>0</v>
      </c>
      <c r="F78" s="671"/>
      <c r="G78" s="671"/>
      <c r="H78" s="670">
        <f t="shared" si="5"/>
        <v>0</v>
      </c>
    </row>
    <row r="79" spans="1:8" x14ac:dyDescent="0.25">
      <c r="A79" s="794"/>
      <c r="B79" s="705" t="s">
        <v>603</v>
      </c>
      <c r="C79" s="671"/>
      <c r="D79" s="671"/>
      <c r="E79" s="672">
        <f t="shared" si="13"/>
        <v>0</v>
      </c>
      <c r="F79" s="671"/>
      <c r="G79" s="671"/>
      <c r="H79" s="670">
        <f t="shared" si="5"/>
        <v>0</v>
      </c>
    </row>
    <row r="80" spans="1:8" x14ac:dyDescent="0.25">
      <c r="A80" s="794"/>
      <c r="B80" s="705" t="s">
        <v>604</v>
      </c>
      <c r="C80" s="671"/>
      <c r="D80" s="671"/>
      <c r="E80" s="672">
        <f t="shared" si="13"/>
        <v>0</v>
      </c>
      <c r="F80" s="671"/>
      <c r="G80" s="671"/>
      <c r="H80" s="670">
        <f t="shared" si="5"/>
        <v>0</v>
      </c>
    </row>
    <row r="81" spans="1:8" x14ac:dyDescent="0.25">
      <c r="A81" s="794"/>
      <c r="B81" s="705" t="s">
        <v>605</v>
      </c>
      <c r="C81" s="671"/>
      <c r="D81" s="671"/>
      <c r="E81" s="672">
        <f t="shared" si="13"/>
        <v>0</v>
      </c>
      <c r="F81" s="671"/>
      <c r="G81" s="671"/>
      <c r="H81" s="670">
        <f t="shared" si="5"/>
        <v>0</v>
      </c>
    </row>
    <row r="82" spans="1:8" x14ac:dyDescent="0.25">
      <c r="A82" s="794"/>
      <c r="B82" s="705" t="s">
        <v>606</v>
      </c>
      <c r="C82" s="671"/>
      <c r="D82" s="671"/>
      <c r="E82" s="672">
        <f t="shared" si="13"/>
        <v>0</v>
      </c>
      <c r="F82" s="671"/>
      <c r="G82" s="671"/>
      <c r="H82" s="670">
        <f t="shared" si="5"/>
        <v>0</v>
      </c>
    </row>
    <row r="83" spans="1:8" x14ac:dyDescent="0.25">
      <c r="A83" s="794"/>
      <c r="B83" s="705" t="s">
        <v>607</v>
      </c>
      <c r="C83" s="671"/>
      <c r="D83" s="671"/>
      <c r="E83" s="672">
        <f t="shared" si="13"/>
        <v>0</v>
      </c>
      <c r="F83" s="671"/>
      <c r="G83" s="671"/>
      <c r="H83" s="670">
        <f t="shared" si="5"/>
        <v>0</v>
      </c>
    </row>
    <row r="84" spans="1:8" x14ac:dyDescent="0.25">
      <c r="A84" s="1416" t="s">
        <v>608</v>
      </c>
      <c r="B84" s="1417"/>
      <c r="C84" s="668">
        <f t="shared" ref="C84:H84" si="14">+C85+C93+C103+C113+C123+C133+C137+C146+C150</f>
        <v>0</v>
      </c>
      <c r="D84" s="668">
        <f t="shared" si="14"/>
        <v>0</v>
      </c>
      <c r="E84" s="673">
        <f t="shared" si="14"/>
        <v>0</v>
      </c>
      <c r="F84" s="668">
        <f t="shared" si="14"/>
        <v>0</v>
      </c>
      <c r="G84" s="668">
        <f t="shared" si="14"/>
        <v>0</v>
      </c>
      <c r="H84" s="668">
        <f t="shared" si="14"/>
        <v>0</v>
      </c>
    </row>
    <row r="85" spans="1:8" x14ac:dyDescent="0.25">
      <c r="A85" s="1418" t="s">
        <v>535</v>
      </c>
      <c r="B85" s="1419"/>
      <c r="C85" s="669">
        <f t="shared" ref="C85:H85" si="15">SUM(C86:C92)</f>
        <v>0</v>
      </c>
      <c r="D85" s="669">
        <f t="shared" si="15"/>
        <v>0</v>
      </c>
      <c r="E85" s="672">
        <f t="shared" si="15"/>
        <v>0</v>
      </c>
      <c r="F85" s="669">
        <f t="shared" si="15"/>
        <v>0</v>
      </c>
      <c r="G85" s="669">
        <f t="shared" si="15"/>
        <v>0</v>
      </c>
      <c r="H85" s="669">
        <f t="shared" si="15"/>
        <v>0</v>
      </c>
    </row>
    <row r="86" spans="1:8" x14ac:dyDescent="0.25">
      <c r="A86" s="794"/>
      <c r="B86" s="705" t="s">
        <v>536</v>
      </c>
      <c r="C86" s="671"/>
      <c r="D86" s="671"/>
      <c r="E86" s="672">
        <f t="shared" ref="E86:E92" si="16">C86+D86</f>
        <v>0</v>
      </c>
      <c r="F86" s="671"/>
      <c r="G86" s="671"/>
      <c r="H86" s="670">
        <f t="shared" ref="H86:H149" si="17">+E86-F86</f>
        <v>0</v>
      </c>
    </row>
    <row r="87" spans="1:8" x14ac:dyDescent="0.25">
      <c r="A87" s="794"/>
      <c r="B87" s="705" t="s">
        <v>537</v>
      </c>
      <c r="C87" s="671"/>
      <c r="D87" s="671"/>
      <c r="E87" s="672">
        <f t="shared" si="16"/>
        <v>0</v>
      </c>
      <c r="F87" s="671"/>
      <c r="G87" s="671"/>
      <c r="H87" s="670">
        <f t="shared" si="17"/>
        <v>0</v>
      </c>
    </row>
    <row r="88" spans="1:8" x14ac:dyDescent="0.25">
      <c r="A88" s="794"/>
      <c r="B88" s="705" t="s">
        <v>538</v>
      </c>
      <c r="C88" s="671"/>
      <c r="D88" s="671"/>
      <c r="E88" s="672">
        <f t="shared" si="16"/>
        <v>0</v>
      </c>
      <c r="F88" s="671"/>
      <c r="G88" s="671"/>
      <c r="H88" s="670">
        <f t="shared" si="17"/>
        <v>0</v>
      </c>
    </row>
    <row r="89" spans="1:8" x14ac:dyDescent="0.25">
      <c r="A89" s="794"/>
      <c r="B89" s="705" t="s">
        <v>539</v>
      </c>
      <c r="C89" s="671"/>
      <c r="D89" s="671"/>
      <c r="E89" s="672">
        <f t="shared" si="16"/>
        <v>0</v>
      </c>
      <c r="F89" s="671"/>
      <c r="G89" s="671"/>
      <c r="H89" s="670">
        <f t="shared" si="17"/>
        <v>0</v>
      </c>
    </row>
    <row r="90" spans="1:8" x14ac:dyDescent="0.25">
      <c r="A90" s="794"/>
      <c r="B90" s="705" t="s">
        <v>540</v>
      </c>
      <c r="C90" s="671"/>
      <c r="D90" s="671"/>
      <c r="E90" s="672">
        <f t="shared" si="16"/>
        <v>0</v>
      </c>
      <c r="F90" s="671"/>
      <c r="G90" s="671"/>
      <c r="H90" s="670">
        <f t="shared" si="17"/>
        <v>0</v>
      </c>
    </row>
    <row r="91" spans="1:8" x14ac:dyDescent="0.25">
      <c r="A91" s="794"/>
      <c r="B91" s="705" t="s">
        <v>541</v>
      </c>
      <c r="C91" s="671"/>
      <c r="D91" s="671"/>
      <c r="E91" s="672">
        <f t="shared" si="16"/>
        <v>0</v>
      </c>
      <c r="F91" s="671"/>
      <c r="G91" s="671"/>
      <c r="H91" s="670">
        <f t="shared" si="17"/>
        <v>0</v>
      </c>
    </row>
    <row r="92" spans="1:8" x14ac:dyDescent="0.25">
      <c r="A92" s="794"/>
      <c r="B92" s="705" t="s">
        <v>542</v>
      </c>
      <c r="C92" s="671"/>
      <c r="D92" s="671"/>
      <c r="E92" s="672">
        <f t="shared" si="16"/>
        <v>0</v>
      </c>
      <c r="F92" s="671"/>
      <c r="G92" s="671"/>
      <c r="H92" s="670">
        <f t="shared" si="17"/>
        <v>0</v>
      </c>
    </row>
    <row r="93" spans="1:8" x14ac:dyDescent="0.25">
      <c r="A93" s="1418" t="s">
        <v>543</v>
      </c>
      <c r="B93" s="1419"/>
      <c r="C93" s="669">
        <f t="shared" ref="C93:H93" si="18">SUM(C94:C102)</f>
        <v>0</v>
      </c>
      <c r="D93" s="669">
        <f t="shared" si="18"/>
        <v>0</v>
      </c>
      <c r="E93" s="672">
        <f t="shared" si="18"/>
        <v>0</v>
      </c>
      <c r="F93" s="669">
        <f t="shared" si="18"/>
        <v>0</v>
      </c>
      <c r="G93" s="669">
        <f t="shared" si="18"/>
        <v>0</v>
      </c>
      <c r="H93" s="669">
        <f t="shared" si="18"/>
        <v>0</v>
      </c>
    </row>
    <row r="94" spans="1:8" x14ac:dyDescent="0.25">
      <c r="A94" s="794"/>
      <c r="B94" s="705" t="s">
        <v>544</v>
      </c>
      <c r="C94" s="671"/>
      <c r="D94" s="671"/>
      <c r="E94" s="672">
        <f t="shared" ref="E94:E102" si="19">C94+D94</f>
        <v>0</v>
      </c>
      <c r="F94" s="671"/>
      <c r="G94" s="671"/>
      <c r="H94" s="670">
        <f t="shared" si="17"/>
        <v>0</v>
      </c>
    </row>
    <row r="95" spans="1:8" x14ac:dyDescent="0.25">
      <c r="A95" s="794"/>
      <c r="B95" s="705" t="s">
        <v>545</v>
      </c>
      <c r="C95" s="671"/>
      <c r="D95" s="671"/>
      <c r="E95" s="672">
        <f t="shared" si="19"/>
        <v>0</v>
      </c>
      <c r="F95" s="671"/>
      <c r="G95" s="671"/>
      <c r="H95" s="670">
        <f t="shared" si="17"/>
        <v>0</v>
      </c>
    </row>
    <row r="96" spans="1:8" x14ac:dyDescent="0.25">
      <c r="A96" s="794"/>
      <c r="B96" s="705" t="s">
        <v>546</v>
      </c>
      <c r="C96" s="671"/>
      <c r="D96" s="671"/>
      <c r="E96" s="672">
        <f t="shared" si="19"/>
        <v>0</v>
      </c>
      <c r="F96" s="671"/>
      <c r="G96" s="671"/>
      <c r="H96" s="670">
        <f t="shared" si="17"/>
        <v>0</v>
      </c>
    </row>
    <row r="97" spans="1:8" x14ac:dyDescent="0.25">
      <c r="A97" s="794"/>
      <c r="B97" s="705" t="s">
        <v>547</v>
      </c>
      <c r="C97" s="671"/>
      <c r="D97" s="671"/>
      <c r="E97" s="672">
        <f t="shared" si="19"/>
        <v>0</v>
      </c>
      <c r="F97" s="671"/>
      <c r="G97" s="671"/>
      <c r="H97" s="670">
        <f t="shared" si="17"/>
        <v>0</v>
      </c>
    </row>
    <row r="98" spans="1:8" x14ac:dyDescent="0.25">
      <c r="A98" s="794"/>
      <c r="B98" s="705" t="s">
        <v>548</v>
      </c>
      <c r="C98" s="671"/>
      <c r="D98" s="671"/>
      <c r="E98" s="672">
        <f t="shared" si="19"/>
        <v>0</v>
      </c>
      <c r="F98" s="671"/>
      <c r="G98" s="671"/>
      <c r="H98" s="670">
        <f t="shared" si="17"/>
        <v>0</v>
      </c>
    </row>
    <row r="99" spans="1:8" x14ac:dyDescent="0.25">
      <c r="A99" s="794"/>
      <c r="B99" s="705" t="s">
        <v>549</v>
      </c>
      <c r="C99" s="671"/>
      <c r="D99" s="671"/>
      <c r="E99" s="672">
        <f t="shared" si="19"/>
        <v>0</v>
      </c>
      <c r="F99" s="671"/>
      <c r="G99" s="671"/>
      <c r="H99" s="670">
        <f t="shared" si="17"/>
        <v>0</v>
      </c>
    </row>
    <row r="100" spans="1:8" x14ac:dyDescent="0.25">
      <c r="A100" s="794"/>
      <c r="B100" s="705" t="s">
        <v>550</v>
      </c>
      <c r="C100" s="671"/>
      <c r="D100" s="671"/>
      <c r="E100" s="672">
        <f t="shared" si="19"/>
        <v>0</v>
      </c>
      <c r="F100" s="671"/>
      <c r="G100" s="671"/>
      <c r="H100" s="670">
        <f t="shared" si="17"/>
        <v>0</v>
      </c>
    </row>
    <row r="101" spans="1:8" x14ac:dyDescent="0.25">
      <c r="A101" s="794"/>
      <c r="B101" s="705" t="s">
        <v>551</v>
      </c>
      <c r="C101" s="671"/>
      <c r="D101" s="671"/>
      <c r="E101" s="672">
        <f t="shared" si="19"/>
        <v>0</v>
      </c>
      <c r="F101" s="671"/>
      <c r="G101" s="671"/>
      <c r="H101" s="670">
        <f t="shared" si="17"/>
        <v>0</v>
      </c>
    </row>
    <row r="102" spans="1:8" x14ac:dyDescent="0.25">
      <c r="A102" s="794"/>
      <c r="B102" s="705" t="s">
        <v>552</v>
      </c>
      <c r="C102" s="671"/>
      <c r="D102" s="671"/>
      <c r="E102" s="672">
        <f t="shared" si="19"/>
        <v>0</v>
      </c>
      <c r="F102" s="671"/>
      <c r="G102" s="671"/>
      <c r="H102" s="670">
        <f t="shared" si="17"/>
        <v>0</v>
      </c>
    </row>
    <row r="103" spans="1:8" x14ac:dyDescent="0.25">
      <c r="A103" s="1418" t="s">
        <v>553</v>
      </c>
      <c r="B103" s="1419"/>
      <c r="C103" s="669">
        <f t="shared" ref="C103:H103" si="20">SUM(C104:C112)</f>
        <v>0</v>
      </c>
      <c r="D103" s="669">
        <f t="shared" si="20"/>
        <v>0</v>
      </c>
      <c r="E103" s="672">
        <f t="shared" si="20"/>
        <v>0</v>
      </c>
      <c r="F103" s="669">
        <f t="shared" si="20"/>
        <v>0</v>
      </c>
      <c r="G103" s="669">
        <f t="shared" si="20"/>
        <v>0</v>
      </c>
      <c r="H103" s="669">
        <f t="shared" si="20"/>
        <v>0</v>
      </c>
    </row>
    <row r="104" spans="1:8" x14ac:dyDescent="0.25">
      <c r="A104" s="794"/>
      <c r="B104" s="705" t="s">
        <v>554</v>
      </c>
      <c r="C104" s="671"/>
      <c r="D104" s="671"/>
      <c r="E104" s="672">
        <f t="shared" ref="E104:E112" si="21">C104+D104</f>
        <v>0</v>
      </c>
      <c r="F104" s="671"/>
      <c r="G104" s="671"/>
      <c r="H104" s="670">
        <f t="shared" si="17"/>
        <v>0</v>
      </c>
    </row>
    <row r="105" spans="1:8" x14ac:dyDescent="0.25">
      <c r="A105" s="794"/>
      <c r="B105" s="705" t="s">
        <v>555</v>
      </c>
      <c r="C105" s="671"/>
      <c r="D105" s="671"/>
      <c r="E105" s="672">
        <f t="shared" si="21"/>
        <v>0</v>
      </c>
      <c r="F105" s="671"/>
      <c r="G105" s="671"/>
      <c r="H105" s="670">
        <f t="shared" si="17"/>
        <v>0</v>
      </c>
    </row>
    <row r="106" spans="1:8" x14ac:dyDescent="0.25">
      <c r="A106" s="794"/>
      <c r="B106" s="705" t="s">
        <v>556</v>
      </c>
      <c r="C106" s="671"/>
      <c r="D106" s="671"/>
      <c r="E106" s="672">
        <f t="shared" si="21"/>
        <v>0</v>
      </c>
      <c r="F106" s="671"/>
      <c r="G106" s="671"/>
      <c r="H106" s="670">
        <f t="shared" si="17"/>
        <v>0</v>
      </c>
    </row>
    <row r="107" spans="1:8" x14ac:dyDescent="0.25">
      <c r="A107" s="794"/>
      <c r="B107" s="705" t="s">
        <v>557</v>
      </c>
      <c r="C107" s="671"/>
      <c r="D107" s="671"/>
      <c r="E107" s="672">
        <f t="shared" si="21"/>
        <v>0</v>
      </c>
      <c r="F107" s="671"/>
      <c r="G107" s="671"/>
      <c r="H107" s="670">
        <f t="shared" si="17"/>
        <v>0</v>
      </c>
    </row>
    <row r="108" spans="1:8" x14ac:dyDescent="0.25">
      <c r="A108" s="1002"/>
      <c r="B108" s="705" t="s">
        <v>558</v>
      </c>
      <c r="C108" s="671"/>
      <c r="D108" s="671"/>
      <c r="E108" s="672">
        <f t="shared" si="21"/>
        <v>0</v>
      </c>
      <c r="F108" s="671"/>
      <c r="G108" s="671"/>
      <c r="H108" s="670">
        <f t="shared" si="17"/>
        <v>0</v>
      </c>
    </row>
    <row r="109" spans="1:8" x14ac:dyDescent="0.25">
      <c r="A109" s="794"/>
      <c r="B109" s="705" t="s">
        <v>559</v>
      </c>
      <c r="C109" s="671"/>
      <c r="D109" s="671"/>
      <c r="E109" s="672">
        <f t="shared" si="21"/>
        <v>0</v>
      </c>
      <c r="F109" s="671"/>
      <c r="G109" s="671"/>
      <c r="H109" s="670">
        <f t="shared" si="17"/>
        <v>0</v>
      </c>
    </row>
    <row r="110" spans="1:8" x14ac:dyDescent="0.25">
      <c r="A110" s="794"/>
      <c r="B110" s="705" t="s">
        <v>560</v>
      </c>
      <c r="C110" s="671"/>
      <c r="D110" s="671"/>
      <c r="E110" s="672">
        <f t="shared" si="21"/>
        <v>0</v>
      </c>
      <c r="F110" s="671"/>
      <c r="G110" s="671"/>
      <c r="H110" s="670">
        <f t="shared" si="17"/>
        <v>0</v>
      </c>
    </row>
    <row r="111" spans="1:8" x14ac:dyDescent="0.25">
      <c r="A111" s="794"/>
      <c r="B111" s="705" t="s">
        <v>561</v>
      </c>
      <c r="C111" s="671"/>
      <c r="D111" s="671"/>
      <c r="E111" s="672">
        <f t="shared" si="21"/>
        <v>0</v>
      </c>
      <c r="F111" s="671"/>
      <c r="G111" s="671"/>
      <c r="H111" s="670">
        <f t="shared" si="17"/>
        <v>0</v>
      </c>
    </row>
    <row r="112" spans="1:8" x14ac:dyDescent="0.25">
      <c r="A112" s="794"/>
      <c r="B112" s="705" t="s">
        <v>562</v>
      </c>
      <c r="C112" s="671"/>
      <c r="D112" s="671"/>
      <c r="E112" s="672">
        <f t="shared" si="21"/>
        <v>0</v>
      </c>
      <c r="F112" s="671"/>
      <c r="G112" s="671"/>
      <c r="H112" s="670">
        <f t="shared" si="17"/>
        <v>0</v>
      </c>
    </row>
    <row r="113" spans="1:8" x14ac:dyDescent="0.25">
      <c r="A113" s="1418" t="s">
        <v>563</v>
      </c>
      <c r="B113" s="1419"/>
      <c r="C113" s="669">
        <f t="shared" ref="C113:H113" si="22">SUM(C114:C122)</f>
        <v>0</v>
      </c>
      <c r="D113" s="669">
        <f t="shared" si="22"/>
        <v>0</v>
      </c>
      <c r="E113" s="672">
        <f t="shared" si="22"/>
        <v>0</v>
      </c>
      <c r="F113" s="669">
        <f t="shared" si="22"/>
        <v>0</v>
      </c>
      <c r="G113" s="669">
        <f t="shared" si="22"/>
        <v>0</v>
      </c>
      <c r="H113" s="669">
        <f t="shared" si="22"/>
        <v>0</v>
      </c>
    </row>
    <row r="114" spans="1:8" x14ac:dyDescent="0.25">
      <c r="A114" s="794"/>
      <c r="B114" s="705" t="s">
        <v>564</v>
      </c>
      <c r="C114" s="671"/>
      <c r="D114" s="671"/>
      <c r="E114" s="672">
        <f t="shared" ref="E114:E122" si="23">C114+D114</f>
        <v>0</v>
      </c>
      <c r="F114" s="671"/>
      <c r="G114" s="671"/>
      <c r="H114" s="670">
        <f t="shared" si="17"/>
        <v>0</v>
      </c>
    </row>
    <row r="115" spans="1:8" x14ac:dyDescent="0.25">
      <c r="A115" s="794"/>
      <c r="B115" s="705" t="s">
        <v>565</v>
      </c>
      <c r="C115" s="671"/>
      <c r="D115" s="671"/>
      <c r="E115" s="672">
        <f t="shared" si="23"/>
        <v>0</v>
      </c>
      <c r="F115" s="671"/>
      <c r="G115" s="671"/>
      <c r="H115" s="670">
        <f t="shared" si="17"/>
        <v>0</v>
      </c>
    </row>
    <row r="116" spans="1:8" x14ac:dyDescent="0.25">
      <c r="A116" s="794"/>
      <c r="B116" s="705" t="s">
        <v>566</v>
      </c>
      <c r="C116" s="671"/>
      <c r="D116" s="671"/>
      <c r="E116" s="672">
        <f t="shared" si="23"/>
        <v>0</v>
      </c>
      <c r="F116" s="671"/>
      <c r="G116" s="671"/>
      <c r="H116" s="670">
        <f t="shared" si="17"/>
        <v>0</v>
      </c>
    </row>
    <row r="117" spans="1:8" x14ac:dyDescent="0.25">
      <c r="A117" s="1008"/>
      <c r="B117" s="1009" t="s">
        <v>567</v>
      </c>
      <c r="C117" s="1010"/>
      <c r="D117" s="1010"/>
      <c r="E117" s="1011">
        <f t="shared" si="23"/>
        <v>0</v>
      </c>
      <c r="F117" s="1010"/>
      <c r="G117" s="1010"/>
      <c r="H117" s="1012">
        <f t="shared" si="17"/>
        <v>0</v>
      </c>
    </row>
    <row r="118" spans="1:8" x14ac:dyDescent="0.25">
      <c r="A118" s="794"/>
      <c r="B118" s="705" t="s">
        <v>568</v>
      </c>
      <c r="C118" s="671"/>
      <c r="D118" s="671"/>
      <c r="E118" s="672">
        <f t="shared" si="23"/>
        <v>0</v>
      </c>
      <c r="F118" s="671"/>
      <c r="G118" s="671"/>
      <c r="H118" s="670">
        <f t="shared" si="17"/>
        <v>0</v>
      </c>
    </row>
    <row r="119" spans="1:8" x14ac:dyDescent="0.25">
      <c r="A119" s="794"/>
      <c r="B119" s="705" t="s">
        <v>569</v>
      </c>
      <c r="C119" s="671"/>
      <c r="D119" s="671"/>
      <c r="E119" s="672">
        <f t="shared" si="23"/>
        <v>0</v>
      </c>
      <c r="F119" s="671"/>
      <c r="G119" s="671"/>
      <c r="H119" s="670">
        <f t="shared" si="17"/>
        <v>0</v>
      </c>
    </row>
    <row r="120" spans="1:8" x14ac:dyDescent="0.25">
      <c r="A120" s="794"/>
      <c r="B120" s="705" t="s">
        <v>570</v>
      </c>
      <c r="C120" s="671"/>
      <c r="D120" s="671"/>
      <c r="E120" s="672">
        <f t="shared" si="23"/>
        <v>0</v>
      </c>
      <c r="F120" s="671"/>
      <c r="G120" s="671"/>
      <c r="H120" s="670">
        <f t="shared" si="17"/>
        <v>0</v>
      </c>
    </row>
    <row r="121" spans="1:8" x14ac:dyDescent="0.25">
      <c r="A121" s="794"/>
      <c r="B121" s="705" t="s">
        <v>571</v>
      </c>
      <c r="C121" s="671"/>
      <c r="D121" s="671"/>
      <c r="E121" s="672">
        <f t="shared" si="23"/>
        <v>0</v>
      </c>
      <c r="F121" s="671"/>
      <c r="G121" s="671"/>
      <c r="H121" s="670">
        <f t="shared" si="17"/>
        <v>0</v>
      </c>
    </row>
    <row r="122" spans="1:8" x14ac:dyDescent="0.25">
      <c r="A122" s="794"/>
      <c r="B122" s="705" t="s">
        <v>572</v>
      </c>
      <c r="C122" s="671"/>
      <c r="D122" s="671"/>
      <c r="E122" s="672">
        <f t="shared" si="23"/>
        <v>0</v>
      </c>
      <c r="F122" s="671"/>
      <c r="G122" s="671"/>
      <c r="H122" s="670">
        <f t="shared" si="17"/>
        <v>0</v>
      </c>
    </row>
    <row r="123" spans="1:8" x14ac:dyDescent="0.25">
      <c r="A123" s="1418" t="s">
        <v>573</v>
      </c>
      <c r="B123" s="1419"/>
      <c r="C123" s="669">
        <f t="shared" ref="C123:H123" si="24">SUM(C124:C132)</f>
        <v>0</v>
      </c>
      <c r="D123" s="669">
        <f t="shared" si="24"/>
        <v>0</v>
      </c>
      <c r="E123" s="672">
        <f t="shared" si="24"/>
        <v>0</v>
      </c>
      <c r="F123" s="669">
        <f t="shared" si="24"/>
        <v>0</v>
      </c>
      <c r="G123" s="669">
        <f t="shared" si="24"/>
        <v>0</v>
      </c>
      <c r="H123" s="669">
        <f t="shared" si="24"/>
        <v>0</v>
      </c>
    </row>
    <row r="124" spans="1:8" x14ac:dyDescent="0.25">
      <c r="A124" s="794"/>
      <c r="B124" s="705" t="s">
        <v>574</v>
      </c>
      <c r="C124" s="671">
        <v>0</v>
      </c>
      <c r="D124" s="671"/>
      <c r="E124" s="672">
        <f t="shared" ref="E124:E132" si="25">C124+D124</f>
        <v>0</v>
      </c>
      <c r="F124" s="671"/>
      <c r="G124" s="671"/>
      <c r="H124" s="670">
        <f t="shared" si="17"/>
        <v>0</v>
      </c>
    </row>
    <row r="125" spans="1:8" x14ac:dyDescent="0.25">
      <c r="A125" s="794"/>
      <c r="B125" s="705" t="s">
        <v>575</v>
      </c>
      <c r="C125" s="671"/>
      <c r="D125" s="671"/>
      <c r="E125" s="672">
        <f t="shared" si="25"/>
        <v>0</v>
      </c>
      <c r="F125" s="671"/>
      <c r="G125" s="671"/>
      <c r="H125" s="670">
        <f t="shared" si="17"/>
        <v>0</v>
      </c>
    </row>
    <row r="126" spans="1:8" x14ac:dyDescent="0.25">
      <c r="A126" s="794"/>
      <c r="B126" s="705" t="s">
        <v>576</v>
      </c>
      <c r="C126" s="671"/>
      <c r="D126" s="671"/>
      <c r="E126" s="672">
        <f t="shared" si="25"/>
        <v>0</v>
      </c>
      <c r="F126" s="671"/>
      <c r="G126" s="671"/>
      <c r="H126" s="670">
        <f t="shared" si="17"/>
        <v>0</v>
      </c>
    </row>
    <row r="127" spans="1:8" x14ac:dyDescent="0.25">
      <c r="A127" s="794"/>
      <c r="B127" s="705" t="s">
        <v>577</v>
      </c>
      <c r="C127" s="671"/>
      <c r="D127" s="671"/>
      <c r="E127" s="672">
        <f t="shared" si="25"/>
        <v>0</v>
      </c>
      <c r="F127" s="671"/>
      <c r="G127" s="671"/>
      <c r="H127" s="670">
        <f t="shared" si="17"/>
        <v>0</v>
      </c>
    </row>
    <row r="128" spans="1:8" x14ac:dyDescent="0.25">
      <c r="A128" s="794"/>
      <c r="B128" s="705" t="s">
        <v>578</v>
      </c>
      <c r="C128" s="671"/>
      <c r="D128" s="671"/>
      <c r="E128" s="672">
        <f t="shared" si="25"/>
        <v>0</v>
      </c>
      <c r="F128" s="671"/>
      <c r="G128" s="671"/>
      <c r="H128" s="670">
        <f t="shared" si="17"/>
        <v>0</v>
      </c>
    </row>
    <row r="129" spans="1:8" x14ac:dyDescent="0.25">
      <c r="A129" s="794"/>
      <c r="B129" s="705" t="s">
        <v>579</v>
      </c>
      <c r="C129" s="671"/>
      <c r="D129" s="671"/>
      <c r="E129" s="672">
        <f t="shared" si="25"/>
        <v>0</v>
      </c>
      <c r="F129" s="671"/>
      <c r="G129" s="671"/>
      <c r="H129" s="670">
        <f t="shared" si="17"/>
        <v>0</v>
      </c>
    </row>
    <row r="130" spans="1:8" x14ac:dyDescent="0.25">
      <c r="A130" s="794"/>
      <c r="B130" s="705" t="s">
        <v>580</v>
      </c>
      <c r="C130" s="671"/>
      <c r="D130" s="671"/>
      <c r="E130" s="672">
        <f t="shared" si="25"/>
        <v>0</v>
      </c>
      <c r="F130" s="671"/>
      <c r="G130" s="671"/>
      <c r="H130" s="670">
        <f t="shared" si="17"/>
        <v>0</v>
      </c>
    </row>
    <row r="131" spans="1:8" x14ac:dyDescent="0.25">
      <c r="A131" s="794"/>
      <c r="B131" s="705" t="s">
        <v>581</v>
      </c>
      <c r="C131" s="671"/>
      <c r="D131" s="671"/>
      <c r="E131" s="672">
        <f t="shared" si="25"/>
        <v>0</v>
      </c>
      <c r="F131" s="671"/>
      <c r="G131" s="671"/>
      <c r="H131" s="670">
        <f t="shared" si="17"/>
        <v>0</v>
      </c>
    </row>
    <row r="132" spans="1:8" x14ac:dyDescent="0.25">
      <c r="A132" s="794"/>
      <c r="B132" s="705" t="s">
        <v>582</v>
      </c>
      <c r="C132" s="671"/>
      <c r="D132" s="671"/>
      <c r="E132" s="672">
        <f t="shared" si="25"/>
        <v>0</v>
      </c>
      <c r="F132" s="671"/>
      <c r="G132" s="671"/>
      <c r="H132" s="670">
        <f t="shared" si="17"/>
        <v>0</v>
      </c>
    </row>
    <row r="133" spans="1:8" x14ac:dyDescent="0.25">
      <c r="A133" s="1418" t="s">
        <v>583</v>
      </c>
      <c r="B133" s="1419"/>
      <c r="C133" s="669">
        <f t="shared" ref="C133:H133" si="26">SUM(C134:C136)</f>
        <v>0</v>
      </c>
      <c r="D133" s="669">
        <f t="shared" si="26"/>
        <v>0</v>
      </c>
      <c r="E133" s="672">
        <f t="shared" si="26"/>
        <v>0</v>
      </c>
      <c r="F133" s="669">
        <f t="shared" si="26"/>
        <v>0</v>
      </c>
      <c r="G133" s="669">
        <f t="shared" si="26"/>
        <v>0</v>
      </c>
      <c r="H133" s="669">
        <f t="shared" si="26"/>
        <v>0</v>
      </c>
    </row>
    <row r="134" spans="1:8" x14ac:dyDescent="0.25">
      <c r="A134" s="794"/>
      <c r="B134" s="705" t="s">
        <v>584</v>
      </c>
      <c r="C134" s="671"/>
      <c r="D134" s="671"/>
      <c r="E134" s="672">
        <f>C134+D134</f>
        <v>0</v>
      </c>
      <c r="F134" s="671"/>
      <c r="G134" s="671"/>
      <c r="H134" s="670">
        <f t="shared" si="17"/>
        <v>0</v>
      </c>
    </row>
    <row r="135" spans="1:8" x14ac:dyDescent="0.25">
      <c r="A135" s="794"/>
      <c r="B135" s="705" t="s">
        <v>585</v>
      </c>
      <c r="C135" s="671"/>
      <c r="D135" s="671"/>
      <c r="E135" s="672">
        <f>C135+D135</f>
        <v>0</v>
      </c>
      <c r="F135" s="671"/>
      <c r="G135" s="671"/>
      <c r="H135" s="670">
        <f t="shared" si="17"/>
        <v>0</v>
      </c>
    </row>
    <row r="136" spans="1:8" x14ac:dyDescent="0.25">
      <c r="A136" s="794"/>
      <c r="B136" s="705" t="s">
        <v>586</v>
      </c>
      <c r="C136" s="671"/>
      <c r="D136" s="671"/>
      <c r="E136" s="672">
        <f>C136+D136</f>
        <v>0</v>
      </c>
      <c r="F136" s="671"/>
      <c r="G136" s="671"/>
      <c r="H136" s="670">
        <f t="shared" si="17"/>
        <v>0</v>
      </c>
    </row>
    <row r="137" spans="1:8" x14ac:dyDescent="0.25">
      <c r="A137" s="1418" t="s">
        <v>587</v>
      </c>
      <c r="B137" s="1419"/>
      <c r="C137" s="669">
        <f t="shared" ref="C137:H137" si="27">SUM(C138:C145)</f>
        <v>0</v>
      </c>
      <c r="D137" s="669">
        <f t="shared" si="27"/>
        <v>0</v>
      </c>
      <c r="E137" s="672">
        <f t="shared" si="27"/>
        <v>0</v>
      </c>
      <c r="F137" s="669">
        <f t="shared" si="27"/>
        <v>0</v>
      </c>
      <c r="G137" s="669">
        <f t="shared" si="27"/>
        <v>0</v>
      </c>
      <c r="H137" s="669">
        <f t="shared" si="27"/>
        <v>0</v>
      </c>
    </row>
    <row r="138" spans="1:8" x14ac:dyDescent="0.25">
      <c r="A138" s="794"/>
      <c r="B138" s="705" t="s">
        <v>588</v>
      </c>
      <c r="C138" s="671"/>
      <c r="D138" s="671"/>
      <c r="E138" s="672">
        <f t="shared" ref="E138:E145" si="28">C138+D138</f>
        <v>0</v>
      </c>
      <c r="F138" s="671"/>
      <c r="G138" s="671"/>
      <c r="H138" s="670">
        <f t="shared" si="17"/>
        <v>0</v>
      </c>
    </row>
    <row r="139" spans="1:8" x14ac:dyDescent="0.25">
      <c r="A139" s="794"/>
      <c r="B139" s="705" t="s">
        <v>589</v>
      </c>
      <c r="C139" s="671"/>
      <c r="D139" s="671"/>
      <c r="E139" s="672">
        <f t="shared" si="28"/>
        <v>0</v>
      </c>
      <c r="F139" s="671"/>
      <c r="G139" s="671"/>
      <c r="H139" s="670">
        <f t="shared" si="17"/>
        <v>0</v>
      </c>
    </row>
    <row r="140" spans="1:8" x14ac:dyDescent="0.25">
      <c r="A140" s="794"/>
      <c r="B140" s="705" t="s">
        <v>590</v>
      </c>
      <c r="C140" s="671"/>
      <c r="D140" s="671"/>
      <c r="E140" s="672">
        <f t="shared" si="28"/>
        <v>0</v>
      </c>
      <c r="F140" s="671"/>
      <c r="G140" s="671"/>
      <c r="H140" s="670">
        <f t="shared" si="17"/>
        <v>0</v>
      </c>
    </row>
    <row r="141" spans="1:8" x14ac:dyDescent="0.25">
      <c r="A141" s="794"/>
      <c r="B141" s="705" t="s">
        <v>591</v>
      </c>
      <c r="C141" s="671"/>
      <c r="D141" s="671"/>
      <c r="E141" s="672">
        <f t="shared" si="28"/>
        <v>0</v>
      </c>
      <c r="F141" s="671"/>
      <c r="G141" s="671"/>
      <c r="H141" s="670">
        <f t="shared" si="17"/>
        <v>0</v>
      </c>
    </row>
    <row r="142" spans="1:8" x14ac:dyDescent="0.25">
      <c r="A142" s="794"/>
      <c r="B142" s="705" t="s">
        <v>592</v>
      </c>
      <c r="C142" s="671"/>
      <c r="D142" s="671"/>
      <c r="E142" s="672">
        <f t="shared" si="28"/>
        <v>0</v>
      </c>
      <c r="F142" s="671"/>
      <c r="G142" s="671"/>
      <c r="H142" s="670">
        <f t="shared" si="17"/>
        <v>0</v>
      </c>
    </row>
    <row r="143" spans="1:8" x14ac:dyDescent="0.25">
      <c r="A143" s="1002"/>
      <c r="B143" s="705" t="s">
        <v>593</v>
      </c>
      <c r="C143" s="671"/>
      <c r="D143" s="671"/>
      <c r="E143" s="672">
        <f t="shared" si="28"/>
        <v>0</v>
      </c>
      <c r="F143" s="671"/>
      <c r="G143" s="671"/>
      <c r="H143" s="670">
        <f t="shared" si="17"/>
        <v>0</v>
      </c>
    </row>
    <row r="144" spans="1:8" x14ac:dyDescent="0.25">
      <c r="A144" s="794"/>
      <c r="B144" s="705" t="s">
        <v>594</v>
      </c>
      <c r="C144" s="671"/>
      <c r="D144" s="671"/>
      <c r="E144" s="672">
        <f t="shared" si="28"/>
        <v>0</v>
      </c>
      <c r="F144" s="671"/>
      <c r="G144" s="671"/>
      <c r="H144" s="670">
        <f t="shared" si="17"/>
        <v>0</v>
      </c>
    </row>
    <row r="145" spans="1:9" x14ac:dyDescent="0.25">
      <c r="A145" s="794"/>
      <c r="B145" s="705" t="s">
        <v>595</v>
      </c>
      <c r="C145" s="671"/>
      <c r="D145" s="671"/>
      <c r="E145" s="672">
        <f t="shared" si="28"/>
        <v>0</v>
      </c>
      <c r="F145" s="671"/>
      <c r="G145" s="671"/>
      <c r="H145" s="670">
        <f t="shared" si="17"/>
        <v>0</v>
      </c>
    </row>
    <row r="146" spans="1:9" x14ac:dyDescent="0.25">
      <c r="A146" s="1418" t="s">
        <v>596</v>
      </c>
      <c r="B146" s="1419"/>
      <c r="C146" s="669">
        <f t="shared" ref="C146:H146" si="29">SUM(C147:C149)</f>
        <v>0</v>
      </c>
      <c r="D146" s="669">
        <f t="shared" si="29"/>
        <v>0</v>
      </c>
      <c r="E146" s="672">
        <f t="shared" si="29"/>
        <v>0</v>
      </c>
      <c r="F146" s="669">
        <f t="shared" si="29"/>
        <v>0</v>
      </c>
      <c r="G146" s="669">
        <f t="shared" si="29"/>
        <v>0</v>
      </c>
      <c r="H146" s="669">
        <f t="shared" si="29"/>
        <v>0</v>
      </c>
    </row>
    <row r="147" spans="1:9" x14ac:dyDescent="0.25">
      <c r="A147" s="794"/>
      <c r="B147" s="705" t="s">
        <v>597</v>
      </c>
      <c r="C147" s="671"/>
      <c r="D147" s="671"/>
      <c r="E147" s="672">
        <f>C147+D147</f>
        <v>0</v>
      </c>
      <c r="F147" s="671"/>
      <c r="G147" s="671"/>
      <c r="H147" s="670">
        <f t="shared" si="17"/>
        <v>0</v>
      </c>
    </row>
    <row r="148" spans="1:9" x14ac:dyDescent="0.25">
      <c r="A148" s="794"/>
      <c r="B148" s="705" t="s">
        <v>598</v>
      </c>
      <c r="C148" s="671"/>
      <c r="D148" s="671"/>
      <c r="E148" s="672">
        <f>C148+D148</f>
        <v>0</v>
      </c>
      <c r="F148" s="671"/>
      <c r="G148" s="671"/>
      <c r="H148" s="670">
        <f t="shared" si="17"/>
        <v>0</v>
      </c>
    </row>
    <row r="149" spans="1:9" x14ac:dyDescent="0.25">
      <c r="A149" s="794"/>
      <c r="B149" s="705" t="s">
        <v>599</v>
      </c>
      <c r="C149" s="671"/>
      <c r="D149" s="671"/>
      <c r="E149" s="672">
        <f>C149+D149</f>
        <v>0</v>
      </c>
      <c r="F149" s="671"/>
      <c r="G149" s="671"/>
      <c r="H149" s="670">
        <f t="shared" si="17"/>
        <v>0</v>
      </c>
    </row>
    <row r="150" spans="1:9" x14ac:dyDescent="0.25">
      <c r="A150" s="1418" t="s">
        <v>600</v>
      </c>
      <c r="B150" s="1419"/>
      <c r="C150" s="669">
        <f t="shared" ref="C150:H150" si="30">SUM(C151:C157)</f>
        <v>0</v>
      </c>
      <c r="D150" s="669">
        <f t="shared" si="30"/>
        <v>0</v>
      </c>
      <c r="E150" s="672">
        <f t="shared" si="30"/>
        <v>0</v>
      </c>
      <c r="F150" s="669">
        <f t="shared" si="30"/>
        <v>0</v>
      </c>
      <c r="G150" s="669">
        <f t="shared" si="30"/>
        <v>0</v>
      </c>
      <c r="H150" s="669">
        <f t="shared" si="30"/>
        <v>0</v>
      </c>
    </row>
    <row r="151" spans="1:9" x14ac:dyDescent="0.25">
      <c r="A151" s="794"/>
      <c r="B151" s="705" t="s">
        <v>601</v>
      </c>
      <c r="C151" s="671"/>
      <c r="D151" s="671"/>
      <c r="E151" s="672">
        <f t="shared" ref="E151:E158" si="31">C151+D151</f>
        <v>0</v>
      </c>
      <c r="F151" s="671"/>
      <c r="G151" s="671"/>
      <c r="H151" s="670">
        <f t="shared" ref="H151:H157" si="32">+E151-F151</f>
        <v>0</v>
      </c>
    </row>
    <row r="152" spans="1:9" x14ac:dyDescent="0.25">
      <c r="A152" s="794"/>
      <c r="B152" s="705" t="s">
        <v>602</v>
      </c>
      <c r="C152" s="671"/>
      <c r="D152" s="671"/>
      <c r="E152" s="672">
        <f t="shared" si="31"/>
        <v>0</v>
      </c>
      <c r="F152" s="671"/>
      <c r="G152" s="671"/>
      <c r="H152" s="670">
        <f t="shared" si="32"/>
        <v>0</v>
      </c>
    </row>
    <row r="153" spans="1:9" x14ac:dyDescent="0.25">
      <c r="A153" s="794"/>
      <c r="B153" s="705" t="s">
        <v>603</v>
      </c>
      <c r="C153" s="671"/>
      <c r="D153" s="671"/>
      <c r="E153" s="672">
        <f t="shared" si="31"/>
        <v>0</v>
      </c>
      <c r="F153" s="671"/>
      <c r="G153" s="671"/>
      <c r="H153" s="670">
        <f t="shared" si="32"/>
        <v>0</v>
      </c>
    </row>
    <row r="154" spans="1:9" x14ac:dyDescent="0.25">
      <c r="A154" s="794"/>
      <c r="B154" s="705" t="s">
        <v>604</v>
      </c>
      <c r="C154" s="671"/>
      <c r="D154" s="671"/>
      <c r="E154" s="672">
        <f t="shared" si="31"/>
        <v>0</v>
      </c>
      <c r="F154" s="671"/>
      <c r="G154" s="671"/>
      <c r="H154" s="670">
        <f t="shared" si="32"/>
        <v>0</v>
      </c>
    </row>
    <row r="155" spans="1:9" x14ac:dyDescent="0.25">
      <c r="A155" s="794"/>
      <c r="B155" s="705" t="s">
        <v>605</v>
      </c>
      <c r="C155" s="671"/>
      <c r="D155" s="671"/>
      <c r="E155" s="672">
        <f t="shared" si="31"/>
        <v>0</v>
      </c>
      <c r="F155" s="671"/>
      <c r="G155" s="671"/>
      <c r="H155" s="670">
        <f t="shared" si="32"/>
        <v>0</v>
      </c>
      <c r="I155" s="482" t="str">
        <f>IF((C159-'CPCA II-04'!B81)&gt;0.9,"ERROR!!!!! EL MONTO NO COINCIDE CON LO REPORTADO EN EL FORMATO ETCA-II-04 EN EL TOTAL DEL GASTO","")</f>
        <v/>
      </c>
    </row>
    <row r="156" spans="1:9" x14ac:dyDescent="0.25">
      <c r="A156" s="794"/>
      <c r="B156" s="705" t="s">
        <v>606</v>
      </c>
      <c r="C156" s="671"/>
      <c r="D156" s="671"/>
      <c r="E156" s="672">
        <f t="shared" si="31"/>
        <v>0</v>
      </c>
      <c r="F156" s="671"/>
      <c r="G156" s="671"/>
      <c r="H156" s="670">
        <f t="shared" si="32"/>
        <v>0</v>
      </c>
      <c r="I156" s="482" t="str">
        <f>IF((D159-'CPCA II-04'!C81)&gt;0.9,"ERROR!!!!! EL MONTO NO COINCIDE CON LO REPORTADO EN EL FORMATO ETCA-II-04 EN EL TOTAL DEL GASTO","")</f>
        <v/>
      </c>
    </row>
    <row r="157" spans="1:9" x14ac:dyDescent="0.25">
      <c r="A157" s="794"/>
      <c r="B157" s="705" t="s">
        <v>607</v>
      </c>
      <c r="C157" s="671"/>
      <c r="D157" s="671"/>
      <c r="E157" s="672">
        <f t="shared" si="31"/>
        <v>0</v>
      </c>
      <c r="F157" s="671"/>
      <c r="G157" s="671"/>
      <c r="H157" s="670">
        <f t="shared" si="32"/>
        <v>0</v>
      </c>
      <c r="I157" s="482" t="str">
        <f>IF((E159-'CPCA II-04'!D81)&gt;0.9,"ERROR!!!!! EL MONTO NO COINCIDE CON LO REPORTADO EN EL FORMATO ETCA-II-04 EN EL TOTAL DEL GASTO","")</f>
        <v/>
      </c>
    </row>
    <row r="158" spans="1:9" x14ac:dyDescent="0.25">
      <c r="A158" s="794"/>
      <c r="B158" s="705"/>
      <c r="C158" s="669"/>
      <c r="D158" s="669"/>
      <c r="E158" s="672">
        <f t="shared" si="31"/>
        <v>0</v>
      </c>
      <c r="F158" s="669"/>
      <c r="G158" s="669"/>
      <c r="H158" s="670"/>
      <c r="I158" s="482" t="str">
        <f>IF((H159-'CPCA II-04'!G81)&gt;0.9,"ERROR!!!!! EL MONTO NO COINCIDE CON LO REPORTADO EN EL FORMATO ETCA-II-04 EN EL TOTAL DEL GASTO","")</f>
        <v/>
      </c>
    </row>
    <row r="159" spans="1:9" x14ac:dyDescent="0.25">
      <c r="A159" s="1416" t="s">
        <v>609</v>
      </c>
      <c r="B159" s="1417"/>
      <c r="C159" s="668">
        <f t="shared" ref="C159:H159" si="33">+C10+C84</f>
        <v>32253060.079999998</v>
      </c>
      <c r="D159" s="668">
        <f t="shared" si="33"/>
        <v>4996155.3999999994</v>
      </c>
      <c r="E159" s="673">
        <f t="shared" si="33"/>
        <v>37249215.479999997</v>
      </c>
      <c r="F159" s="668">
        <f t="shared" si="33"/>
        <v>34881677.560000002</v>
      </c>
      <c r="G159" s="668">
        <f t="shared" si="33"/>
        <v>33580086.640000001</v>
      </c>
      <c r="H159" s="668">
        <f t="shared" si="33"/>
        <v>2367537.92</v>
      </c>
      <c r="I159" s="482" t="str">
        <f>IF((F159-'CPCA II-04'!E81)&gt;0.9,"ERROR!!!!! EL MONTO NO COINCIDE CON LO REPORTADO EN EL FORMATO ETCA-II-04 EN EL TOTAL DEL GASTO","")</f>
        <v/>
      </c>
    </row>
    <row r="160" spans="1:9" ht="15.75" thickBot="1" x14ac:dyDescent="0.3">
      <c r="A160" s="704"/>
      <c r="B160" s="642"/>
      <c r="C160" s="643"/>
      <c r="D160" s="643"/>
      <c r="E160" s="643"/>
      <c r="F160" s="643"/>
      <c r="G160" s="643"/>
      <c r="H160" s="644"/>
      <c r="I160" s="482" t="str">
        <f>IF((G159-'CPCA II-04'!F81)&gt;0.9,"ERROR!!!!! EL MONTO NO COINCIDE CON LO REPORTADO EN EL FORMATO ETCA-II-04 EN EL TOTAL DEL GASTO","")</f>
        <v/>
      </c>
    </row>
  </sheetData>
  <sheetProtection formatColumns="0" formatRows="0"/>
  <mergeCells count="29">
    <mergeCell ref="A6:H6"/>
    <mergeCell ref="A1:H1"/>
    <mergeCell ref="A2:H2"/>
    <mergeCell ref="A3:H3"/>
    <mergeCell ref="A5:H5"/>
    <mergeCell ref="A72:B72"/>
    <mergeCell ref="A7:B8"/>
    <mergeCell ref="C7:G7"/>
    <mergeCell ref="H7:H8"/>
    <mergeCell ref="A10:B10"/>
    <mergeCell ref="A11:B11"/>
    <mergeCell ref="A19:B19"/>
    <mergeCell ref="A29:B29"/>
    <mergeCell ref="A39:B39"/>
    <mergeCell ref="A49:B49"/>
    <mergeCell ref="A59:B59"/>
    <mergeCell ref="A63:B63"/>
    <mergeCell ref="A159:B159"/>
    <mergeCell ref="A76:B76"/>
    <mergeCell ref="A84:B84"/>
    <mergeCell ref="A85:B85"/>
    <mergeCell ref="A93:B93"/>
    <mergeCell ref="A103:B103"/>
    <mergeCell ref="A113:B113"/>
    <mergeCell ref="A123:B123"/>
    <mergeCell ref="A133:B133"/>
    <mergeCell ref="A137:B137"/>
    <mergeCell ref="A146:B146"/>
    <mergeCell ref="A150:B150"/>
  </mergeCells>
  <pageMargins left="0.70866141732283472" right="0.70866141732283472" top="0.74803149606299213" bottom="0.74803149606299213" header="0.31496062992125984" footer="0.31496062992125984"/>
  <pageSetup scale="72" orientation="portrait" r:id="rId1"/>
  <colBreaks count="1" manualBreakCount="1">
    <brk id="8"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Normal="100" zoomScaleSheetLayoutView="100" workbookViewId="0">
      <selection activeCell="E10" sqref="E10"/>
    </sheetView>
  </sheetViews>
  <sheetFormatPr baseColWidth="10" defaultColWidth="11.28515625" defaultRowHeight="16.5" x14ac:dyDescent="0.25"/>
  <cols>
    <col min="1" max="1" width="36.7109375" style="264" customWidth="1"/>
    <col min="2" max="2" width="13.7109375" style="264" customWidth="1"/>
    <col min="3" max="3" width="12" style="264" customWidth="1"/>
    <col min="4" max="4" width="13" style="264" customWidth="1"/>
    <col min="5" max="5" width="13.7109375" style="264" customWidth="1"/>
    <col min="6" max="6" width="15.7109375" style="264" customWidth="1"/>
    <col min="7" max="7" width="12.140625" style="264" customWidth="1"/>
    <col min="8" max="16384" width="11.28515625" style="264"/>
  </cols>
  <sheetData>
    <row r="1" spans="1:8" x14ac:dyDescent="0.25">
      <c r="A1" s="1236" t="s">
        <v>1028</v>
      </c>
      <c r="B1" s="1236"/>
      <c r="C1" s="1236"/>
      <c r="D1" s="1236"/>
      <c r="E1" s="1236"/>
      <c r="F1" s="1236"/>
      <c r="G1" s="1236"/>
    </row>
    <row r="2" spans="1:8" s="265" customFormat="1" ht="15.75" x14ac:dyDescent="0.25">
      <c r="A2" s="1237" t="s">
        <v>465</v>
      </c>
      <c r="B2" s="1237"/>
      <c r="C2" s="1237"/>
      <c r="D2" s="1237"/>
      <c r="E2" s="1237"/>
      <c r="F2" s="1237"/>
      <c r="G2" s="1237"/>
    </row>
    <row r="3" spans="1:8" s="265" customFormat="1" ht="15.75" x14ac:dyDescent="0.25">
      <c r="A3" s="1237" t="s">
        <v>610</v>
      </c>
      <c r="B3" s="1237"/>
      <c r="C3" s="1237"/>
      <c r="D3" s="1237"/>
      <c r="E3" s="1237"/>
      <c r="F3" s="1237"/>
      <c r="G3" s="1237"/>
    </row>
    <row r="4" spans="1:8" s="265" customFormat="1" ht="15.75" x14ac:dyDescent="0.25">
      <c r="A4" s="1236"/>
      <c r="B4" s="1236"/>
      <c r="C4" s="1236"/>
      <c r="D4" s="1236"/>
      <c r="E4" s="1236"/>
      <c r="F4" s="1236"/>
      <c r="G4" s="1236"/>
    </row>
    <row r="5" spans="1:8" s="265" customFormat="1" x14ac:dyDescent="0.25">
      <c r="A5" s="1238" t="str">
        <f>'CPCA-I-03'!A4:D4</f>
        <v>Del 01 de ENERO al 31 de DICIEMBRE de 2024</v>
      </c>
      <c r="B5" s="1238"/>
      <c r="C5" s="1238"/>
      <c r="D5" s="1238"/>
      <c r="E5" s="1238"/>
      <c r="F5" s="1238"/>
      <c r="G5" s="1238"/>
    </row>
    <row r="6" spans="1:8" s="266" customFormat="1" ht="17.25" thickBot="1" x14ac:dyDescent="0.3">
      <c r="A6" s="1415" t="s">
        <v>611</v>
      </c>
      <c r="B6" s="1415"/>
      <c r="C6" s="1415"/>
      <c r="D6" s="1415"/>
      <c r="E6" s="1415"/>
      <c r="F6" s="153"/>
      <c r="G6" s="738"/>
    </row>
    <row r="7" spans="1:8" s="267" customFormat="1" ht="38.25" x14ac:dyDescent="0.25">
      <c r="A7" s="1362" t="s">
        <v>247</v>
      </c>
      <c r="B7" s="188" t="s">
        <v>469</v>
      </c>
      <c r="C7" s="188" t="s">
        <v>397</v>
      </c>
      <c r="D7" s="188" t="s">
        <v>470</v>
      </c>
      <c r="E7" s="189" t="s">
        <v>471</v>
      </c>
      <c r="F7" s="189" t="s">
        <v>472</v>
      </c>
      <c r="G7" s="190" t="s">
        <v>473</v>
      </c>
    </row>
    <row r="8" spans="1:8" s="268" customFormat="1" ht="15.75" customHeight="1" thickBot="1" x14ac:dyDescent="0.3">
      <c r="A8" s="1366"/>
      <c r="B8" s="192" t="s">
        <v>377</v>
      </c>
      <c r="C8" s="192" t="s">
        <v>378</v>
      </c>
      <c r="D8" s="192" t="s">
        <v>474</v>
      </c>
      <c r="E8" s="192" t="s">
        <v>380</v>
      </c>
      <c r="F8" s="192" t="s">
        <v>381</v>
      </c>
      <c r="G8" s="194" t="s">
        <v>475</v>
      </c>
    </row>
    <row r="9" spans="1:8" ht="21.75" customHeight="1" x14ac:dyDescent="0.25">
      <c r="A9" s="273" t="s">
        <v>612</v>
      </c>
      <c r="B9" s="440">
        <f>'CPCA-II-05'!C11+'CPCA-II-05'!C19+'CPCA-II-05'!C29</f>
        <v>31494060.079999998</v>
      </c>
      <c r="C9" s="440">
        <f>'CPCA-II-05'!D11+'CPCA-II-05'!D19+'CPCA-II-05'!D29</f>
        <v>3859700.0999999996</v>
      </c>
      <c r="D9" s="441">
        <f>C9+B9</f>
        <v>35353760.18</v>
      </c>
      <c r="E9" s="440">
        <f>'CPCA-II-05'!F11+'CPCA-II-05'!F19+'CPCA-II-05'!F29</f>
        <v>34534387.660000004</v>
      </c>
      <c r="F9" s="440">
        <f>'CPCA-II-05'!G11+'CPCA-II-05'!G19+'CPCA-II-05'!G29</f>
        <v>33232796.740000002</v>
      </c>
      <c r="G9" s="442">
        <f>D9-E9</f>
        <v>819372.51999999583</v>
      </c>
    </row>
    <row r="10" spans="1:8" ht="22.5" customHeight="1" x14ac:dyDescent="0.25">
      <c r="A10" s="273" t="s">
        <v>613</v>
      </c>
      <c r="B10" s="440">
        <f>'CPCA-II-05'!C49</f>
        <v>759000</v>
      </c>
      <c r="C10" s="440">
        <f>'CPCA-II-05'!D49</f>
        <v>1136455.2999999998</v>
      </c>
      <c r="D10" s="441">
        <f>C10+B10</f>
        <v>1895455.2999999998</v>
      </c>
      <c r="E10" s="440">
        <f>'CPCA-II-05'!F49</f>
        <v>347289.9</v>
      </c>
      <c r="F10" s="440">
        <f>'CPCA-II-05'!G49</f>
        <v>347289.9</v>
      </c>
      <c r="G10" s="442">
        <f>D10-E10</f>
        <v>1548165.4</v>
      </c>
    </row>
    <row r="11" spans="1:8" ht="22.5" customHeight="1" x14ac:dyDescent="0.25">
      <c r="A11" s="273" t="s">
        <v>614</v>
      </c>
      <c r="B11" s="440"/>
      <c r="C11" s="440"/>
      <c r="D11" s="441">
        <f>C11+B11</f>
        <v>0</v>
      </c>
      <c r="E11" s="440"/>
      <c r="F11" s="440"/>
      <c r="G11" s="442">
        <f>D11-E11</f>
        <v>0</v>
      </c>
    </row>
    <row r="12" spans="1:8" ht="23.25" customHeight="1" x14ac:dyDescent="0.25">
      <c r="A12" s="273" t="s">
        <v>220</v>
      </c>
      <c r="B12" s="440"/>
      <c r="C12" s="440"/>
      <c r="D12" s="441">
        <f>C12+B12</f>
        <v>0</v>
      </c>
      <c r="E12" s="440"/>
      <c r="F12" s="440"/>
      <c r="G12" s="442">
        <f>D12-E12</f>
        <v>0</v>
      </c>
    </row>
    <row r="13" spans="1:8" ht="22.5" customHeight="1" x14ac:dyDescent="0.25">
      <c r="A13" s="273" t="s">
        <v>226</v>
      </c>
      <c r="B13" s="440"/>
      <c r="C13" s="440"/>
      <c r="D13" s="441">
        <f>C13+B13</f>
        <v>0</v>
      </c>
      <c r="E13" s="440"/>
      <c r="F13" s="440"/>
      <c r="G13" s="442">
        <f>D13-E13</f>
        <v>0</v>
      </c>
    </row>
    <row r="14" spans="1:8" ht="10.5" customHeight="1" thickBot="1" x14ac:dyDescent="0.3">
      <c r="A14" s="274"/>
      <c r="B14" s="489"/>
      <c r="C14" s="489"/>
      <c r="D14" s="490"/>
      <c r="E14" s="489"/>
      <c r="F14" s="489"/>
      <c r="G14" s="491"/>
    </row>
    <row r="15" spans="1:8" ht="16.5" customHeight="1" thickBot="1" x14ac:dyDescent="0.3">
      <c r="A15" s="751" t="s">
        <v>525</v>
      </c>
      <c r="B15" s="492">
        <f>SUM(B9:B14)</f>
        <v>32253060.079999998</v>
      </c>
      <c r="C15" s="492">
        <f>SUM(C9:C14)</f>
        <v>4996155.3999999994</v>
      </c>
      <c r="D15" s="493">
        <f>C15+B15</f>
        <v>37249215.479999997</v>
      </c>
      <c r="E15" s="492">
        <f>SUM(E9:E14)</f>
        <v>34881677.560000002</v>
      </c>
      <c r="F15" s="492">
        <f>SUM(F9:F14)</f>
        <v>33580086.640000001</v>
      </c>
      <c r="G15" s="494">
        <f>D15-E15</f>
        <v>2367537.9199999943</v>
      </c>
      <c r="H15" s="482" t="str">
        <f>IF((B15-'CPCA II-04'!B81)&gt;0.9,"ERROR!!!!! EL MONTO NO COINCIDE CON LO REPORTADO EN EL FORMATO ETCA-II-04 EN EL TOTAL APROBADO ANUAL DEL ANALÍTICO DE EGRESOS","")</f>
        <v/>
      </c>
    </row>
    <row r="16" spans="1:8" ht="16.5" customHeight="1" x14ac:dyDescent="0.25">
      <c r="A16" s="464"/>
      <c r="B16" s="553"/>
      <c r="C16" s="553"/>
      <c r="D16" s="554"/>
      <c r="E16" s="553"/>
      <c r="F16" s="553"/>
      <c r="G16" s="553"/>
      <c r="H16" s="482" t="str">
        <f>IF((C15-'CPCA II-04'!C81)&gt;0.9,"ERROR!!!!! EL MONTO NO COINCIDE CON LO REPORTADO EN EL FORMATO ETCA-II-04 EN EL TOTAL DE AMPLIACIONES/REDUCCIONES ANUAL DEL ANALÍTICO DE EGRESOS","")</f>
        <v/>
      </c>
    </row>
    <row r="17" spans="1:8" ht="16.5" customHeight="1" x14ac:dyDescent="0.25">
      <c r="A17" s="464"/>
      <c r="B17" s="553"/>
      <c r="C17" s="553"/>
      <c r="D17" s="554"/>
      <c r="E17" s="553"/>
      <c r="F17" s="553"/>
      <c r="G17" s="553"/>
      <c r="H17" s="482" t="str">
        <f>IF((D15-'CPCA II-04'!D81)&gt;0.9,"ERROR!!!!! EL MONTO NO COINCIDE CON LO REPORTADO EN EL FORMATO ETCA-II-04 EN EL TOTAL MODIFICADO ANUAL DEL ANALÍTICO DE EGRESOS","")</f>
        <v/>
      </c>
    </row>
    <row r="18" spans="1:8" ht="16.5" customHeight="1" x14ac:dyDescent="0.25">
      <c r="A18" s="464"/>
      <c r="B18" s="553"/>
      <c r="C18" s="553"/>
      <c r="D18" s="554"/>
      <c r="E18" s="553"/>
      <c r="F18" s="553"/>
      <c r="G18" s="553"/>
      <c r="H18" s="482" t="str">
        <f>IF((E15-'CPCA II-04'!E81)&gt;0.9,"ERROR!!!!! EL MONTO NO COINCIDE CON LO REPORTADO EN EL FORMATO ETCA-II-04 EN EL TOTAL DEVENGADO ANUAL DEL ANALÍTICO DE EGRESOS","")</f>
        <v/>
      </c>
    </row>
    <row r="19" spans="1:8" ht="16.5" customHeight="1" x14ac:dyDescent="0.25">
      <c r="A19" s="464"/>
      <c r="B19" s="553"/>
      <c r="C19" s="553"/>
      <c r="D19" s="554"/>
      <c r="E19" s="553"/>
      <c r="F19" s="553"/>
      <c r="G19" s="553"/>
      <c r="H19" s="482" t="str">
        <f>IF((F15-'CPCA II-04'!F81)&gt;0.9,"ERROR!!!!! EL MONTO NO COINCIDE CON LO REPORTADO EN EL FORMATO ETCA-II-04 EN EL TOTAL PAGADO ANUAL DEL ANALÍTICO DE EGRESOS","")</f>
        <v/>
      </c>
    </row>
    <row r="20" spans="1:8" ht="16.5" customHeight="1" x14ac:dyDescent="0.25">
      <c r="A20" s="464"/>
      <c r="B20" s="553"/>
      <c r="C20" s="553"/>
      <c r="D20" s="554"/>
      <c r="E20" s="553"/>
      <c r="F20" s="553"/>
      <c r="G20" s="553"/>
      <c r="H20" s="482"/>
    </row>
    <row r="21" spans="1:8" ht="16.5" customHeight="1" x14ac:dyDescent="0.25">
      <c r="A21" s="464"/>
      <c r="B21" s="553"/>
      <c r="C21" s="553"/>
      <c r="D21" s="554"/>
      <c r="E21" s="553"/>
      <c r="F21" s="553"/>
      <c r="G21" s="553"/>
      <c r="H21" s="482"/>
    </row>
    <row r="22" spans="1:8" ht="16.5" customHeight="1" x14ac:dyDescent="0.25">
      <c r="A22" s="464"/>
      <c r="B22" s="553"/>
      <c r="C22" s="553"/>
      <c r="D22" s="554"/>
      <c r="E22" s="553"/>
      <c r="F22" s="553"/>
      <c r="G22" s="553"/>
      <c r="H22" s="482"/>
    </row>
    <row r="23" spans="1:8" ht="16.5" customHeight="1" x14ac:dyDescent="0.25">
      <c r="A23" s="464"/>
      <c r="B23" s="553"/>
      <c r="C23" s="553"/>
      <c r="D23" s="554"/>
      <c r="E23" s="553"/>
      <c r="F23" s="553"/>
      <c r="G23" s="553"/>
      <c r="H23" s="482"/>
    </row>
    <row r="24" spans="1:8" ht="16.5" customHeight="1" x14ac:dyDescent="0.25">
      <c r="A24" s="464"/>
      <c r="B24" s="553"/>
      <c r="C24" s="553"/>
      <c r="D24" s="554"/>
      <c r="E24" s="553"/>
      <c r="F24" s="553"/>
      <c r="G24" s="553"/>
      <c r="H24" s="482"/>
    </row>
    <row r="25" spans="1:8" ht="16.5" customHeight="1" x14ac:dyDescent="0.25">
      <c r="A25" s="464"/>
      <c r="B25" s="553"/>
      <c r="C25" s="553"/>
      <c r="D25" s="554"/>
      <c r="E25" s="553"/>
      <c r="F25" s="553"/>
      <c r="G25" s="553"/>
      <c r="H25" s="482"/>
    </row>
    <row r="26" spans="1:8" ht="18.75" customHeight="1" x14ac:dyDescent="0.25">
      <c r="H26" s="482" t="str">
        <f>IF(C15&lt;&gt;'CPCA II-04'!C81,"ERROR!!!!! EL MONTO NO COINCIDE CON LO REPORTADO EN EL FORMATO ETCA-II-11 EN EL TOTAL DE AMPLIACIONES/REDUCCIONES DEL ANALÍTICO DE EGRESOS","")</f>
        <v/>
      </c>
    </row>
    <row r="27" spans="1:8" s="270" customFormat="1" ht="15.75" x14ac:dyDescent="0.25">
      <c r="A27" s="1440" t="s">
        <v>615</v>
      </c>
      <c r="B27" s="1440"/>
      <c r="C27" s="1440"/>
      <c r="D27" s="1440"/>
      <c r="E27" s="1440"/>
      <c r="F27" s="1440"/>
      <c r="G27" s="269"/>
      <c r="H27" s="482" t="str">
        <f>IF(D15&lt;&gt;'CPCA II-04'!D81,"ERROR!!!!! EL MONTO NO COINCIDE CON LO REPORTADO EN EL FORMATO ETCA-II-11 EN EL TOTAL MODIFICADO ANUAL DEL ANALÍTICO DE EGRESOS","")</f>
        <v/>
      </c>
    </row>
    <row r="28" spans="1:8" s="270" customFormat="1" ht="13.5" x14ac:dyDescent="0.25">
      <c r="A28" s="271" t="s">
        <v>616</v>
      </c>
      <c r="B28" s="269"/>
      <c r="C28" s="269"/>
      <c r="D28" s="269"/>
      <c r="E28" s="269"/>
      <c r="F28" s="269"/>
      <c r="G28" s="269"/>
      <c r="H28" s="482" t="str">
        <f>IF(E15&lt;&gt;'CPCA II-04'!D81,"ERROR!!!!! EL MONTO NO COINCIDE CON LO REPORTADO EN EL FORMATO ETCA-II-11 EN EL TOTAL DEVENGADO ANUAL DEL ANALÍTICO DE EGRESOS","")</f>
        <v>ERROR!!!!! EL MONTO NO COINCIDE CON LO REPORTADO EN EL FORMATO ETCA-II-11 EN EL TOTAL DEVENGADO ANUAL DEL ANALÍTICO DE EGRESOS</v>
      </c>
    </row>
    <row r="29" spans="1:8" s="270" customFormat="1" ht="28.5" customHeight="1" x14ac:dyDescent="0.25">
      <c r="A29" s="1439" t="s">
        <v>617</v>
      </c>
      <c r="B29" s="1439"/>
      <c r="C29" s="1439"/>
      <c r="D29" s="1439"/>
      <c r="E29" s="1439"/>
      <c r="F29" s="1439"/>
      <c r="G29" s="1439"/>
      <c r="H29" s="482" t="str">
        <f>IF(F15&lt;&gt;'CPCA II-04'!F81,"ERROR!!!!! EL MONTO NO COINCIDE CON LO REPORTADO EN EL FORMATO ETCA-II-11 EN EL TOTAL PAGADO ANUAL DEL ANALÍTICO DE EGRESOS","")</f>
        <v/>
      </c>
    </row>
    <row r="30" spans="1:8" s="270" customFormat="1" ht="13.5" x14ac:dyDescent="0.25">
      <c r="A30" s="271" t="s">
        <v>618</v>
      </c>
      <c r="B30" s="269"/>
      <c r="C30" s="269"/>
      <c r="D30" s="269"/>
      <c r="E30" s="269"/>
      <c r="F30" s="269"/>
      <c r="G30" s="269"/>
      <c r="H30" s="482" t="str">
        <f>IF(G15&lt;&gt;'CPCA II-04'!G81,"ERROR!!!!! EL MONTO NO COINCIDE CON LO REPORTADO EN EL FORMATO ETCA-II-11 EN EL TOTAL DEL SUBEJERCICIO DEL ANALÍTICO DE EGRESOS","")</f>
        <v>ERROR!!!!! EL MONTO NO COINCIDE CON LO REPORTADO EN EL FORMATO ETCA-II-11 EN EL TOTAL DEL SUBEJERCICIO DEL ANALÍTICO DE EGRESOS</v>
      </c>
    </row>
    <row r="31" spans="1:8" s="270" customFormat="1" ht="25.5" customHeight="1" x14ac:dyDescent="0.25">
      <c r="A31" s="1439" t="s">
        <v>619</v>
      </c>
      <c r="B31" s="1439"/>
      <c r="C31" s="1439"/>
      <c r="D31" s="1439"/>
      <c r="E31" s="1439"/>
      <c r="F31" s="1439"/>
      <c r="G31" s="1439"/>
    </row>
    <row r="32" spans="1:8" s="270" customFormat="1" ht="13.5" x14ac:dyDescent="0.25">
      <c r="A32" s="1441" t="s">
        <v>620</v>
      </c>
      <c r="B32" s="1441"/>
      <c r="C32" s="1441"/>
      <c r="D32" s="1441"/>
      <c r="E32" s="269"/>
      <c r="F32" s="269"/>
      <c r="G32" s="269"/>
    </row>
    <row r="33" spans="1:7" s="270" customFormat="1" ht="13.5" customHeight="1" x14ac:dyDescent="0.25">
      <c r="A33" s="1439" t="s">
        <v>621</v>
      </c>
      <c r="B33" s="1439"/>
      <c r="C33" s="1439"/>
      <c r="D33" s="1439"/>
      <c r="E33" s="1439"/>
      <c r="F33" s="1439"/>
      <c r="G33" s="1439"/>
    </row>
    <row r="34" spans="1:7" s="270" customFormat="1" ht="13.5" x14ac:dyDescent="0.25">
      <c r="A34" s="271" t="s">
        <v>622</v>
      </c>
      <c r="B34" s="269"/>
      <c r="C34" s="269"/>
      <c r="D34" s="269"/>
      <c r="E34" s="269"/>
      <c r="F34" s="269"/>
      <c r="G34" s="269"/>
    </row>
    <row r="35" spans="1:7" s="270" customFormat="1" ht="13.5" customHeight="1" x14ac:dyDescent="0.25">
      <c r="A35" s="1439" t="s">
        <v>623</v>
      </c>
      <c r="B35" s="1439"/>
      <c r="C35" s="1439"/>
      <c r="D35" s="1439"/>
      <c r="E35" s="1439"/>
      <c r="F35" s="1439"/>
      <c r="G35" s="1439"/>
    </row>
    <row r="36" spans="1:7" s="270" customFormat="1" ht="13.5" x14ac:dyDescent="0.25">
      <c r="A36" s="272" t="s">
        <v>624</v>
      </c>
      <c r="B36" s="269"/>
      <c r="C36" s="269"/>
      <c r="D36" s="269"/>
      <c r="E36" s="269"/>
      <c r="F36" s="269"/>
      <c r="G36" s="269"/>
    </row>
    <row r="37" spans="1:7" s="270" customFormat="1" ht="13.5" x14ac:dyDescent="0.25">
      <c r="A37" s="271" t="s">
        <v>625</v>
      </c>
      <c r="B37" s="269"/>
      <c r="C37" s="269"/>
      <c r="D37" s="269"/>
      <c r="E37" s="269"/>
      <c r="F37" s="269"/>
      <c r="G37" s="269"/>
    </row>
    <row r="38" spans="1:7" s="270" customFormat="1" ht="13.5" customHeight="1" x14ac:dyDescent="0.25">
      <c r="A38" s="1439" t="s">
        <v>626</v>
      </c>
      <c r="B38" s="1439"/>
      <c r="C38" s="1439"/>
      <c r="D38" s="1439"/>
      <c r="E38" s="1439"/>
      <c r="F38" s="1439"/>
      <c r="G38" s="1439"/>
    </row>
    <row r="39" spans="1:7" s="270" customFormat="1" ht="13.5" x14ac:dyDescent="0.25">
      <c r="A39" s="272" t="s">
        <v>624</v>
      </c>
      <c r="B39" s="269"/>
      <c r="C39" s="269"/>
      <c r="D39" s="269"/>
      <c r="E39" s="269"/>
      <c r="F39" s="269"/>
      <c r="G39" s="269"/>
    </row>
    <row r="40" spans="1:7" ht="8.25" customHeight="1" x14ac:dyDescent="0.25"/>
  </sheetData>
  <sheetProtection formatColumns="0" formatRows="0" insertHyperlinks="0"/>
  <mergeCells count="14">
    <mergeCell ref="A35:G35"/>
    <mergeCell ref="A38:G38"/>
    <mergeCell ref="A27:F27"/>
    <mergeCell ref="A29:G29"/>
    <mergeCell ref="A31:G31"/>
    <mergeCell ref="A32:D32"/>
    <mergeCell ref="A33:G33"/>
    <mergeCell ref="A7:A8"/>
    <mergeCell ref="A1:G1"/>
    <mergeCell ref="A2:G2"/>
    <mergeCell ref="A3:G3"/>
    <mergeCell ref="A4:G4"/>
    <mergeCell ref="A5:G5"/>
    <mergeCell ref="A6:E6"/>
  </mergeCells>
  <printOptions horizontalCentered="1"/>
  <pageMargins left="0.39370078740157483" right="0.39370078740157483" top="0.74803149606299213" bottom="0.74803149606299213" header="0.31496062992125984"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H61"/>
  <sheetViews>
    <sheetView view="pageBreakPreview" zoomScaleNormal="100" zoomScaleSheetLayoutView="100" workbookViewId="0">
      <selection activeCell="B9" sqref="B9"/>
    </sheetView>
  </sheetViews>
  <sheetFormatPr baseColWidth="10" defaultColWidth="11.28515625" defaultRowHeight="16.5" x14ac:dyDescent="0.3"/>
  <cols>
    <col min="1" max="1" width="51.140625" style="37" customWidth="1"/>
    <col min="2" max="2" width="16" style="37" customWidth="1"/>
    <col min="3" max="3" width="15.7109375" style="37" customWidth="1"/>
    <col min="4" max="4" width="38.7109375" style="37" customWidth="1"/>
    <col min="5" max="5" width="10.28515625" style="37" customWidth="1"/>
    <col min="6" max="6" width="15.28515625" style="37" bestFit="1" customWidth="1"/>
    <col min="7" max="7" width="15.7109375" style="37" customWidth="1"/>
    <col min="8" max="8" width="164.28515625" style="37" customWidth="1"/>
    <col min="9" max="16384" width="11.28515625" style="37"/>
  </cols>
  <sheetData>
    <row r="1" spans="1:7" x14ac:dyDescent="0.3">
      <c r="A1" s="1208" t="s">
        <v>1028</v>
      </c>
      <c r="B1" s="1208"/>
      <c r="C1" s="1208"/>
      <c r="D1" s="1208"/>
      <c r="E1" s="1208"/>
      <c r="F1" s="1208"/>
      <c r="G1" s="1208"/>
    </row>
    <row r="2" spans="1:7" x14ac:dyDescent="0.3">
      <c r="A2" s="1208" t="s">
        <v>22</v>
      </c>
      <c r="B2" s="1208"/>
      <c r="C2" s="1208"/>
      <c r="D2" s="1208"/>
      <c r="E2" s="1208"/>
      <c r="F2" s="1208"/>
      <c r="G2" s="1208"/>
    </row>
    <row r="3" spans="1:7" x14ac:dyDescent="0.3">
      <c r="A3" s="1208"/>
      <c r="B3" s="1208"/>
      <c r="C3" s="1208"/>
      <c r="D3" s="1208"/>
      <c r="E3" s="1208"/>
      <c r="F3" s="1208"/>
      <c r="G3" s="1208"/>
    </row>
    <row r="4" spans="1:7" x14ac:dyDescent="0.3">
      <c r="A4" s="1209" t="s">
        <v>2272</v>
      </c>
      <c r="B4" s="1209"/>
      <c r="C4" s="1209"/>
      <c r="D4" s="1209"/>
      <c r="E4" s="1209"/>
      <c r="F4" s="1209"/>
      <c r="G4" s="1209"/>
    </row>
    <row r="5" spans="1:7" ht="17.25" thickBot="1" x14ac:dyDescent="0.35">
      <c r="A5" s="1211">
        <v>2919340.69</v>
      </c>
      <c r="B5" s="1211"/>
      <c r="C5" s="1211"/>
      <c r="D5" s="1211"/>
      <c r="E5" s="86"/>
      <c r="F5" s="1207"/>
      <c r="G5" s="1207"/>
    </row>
    <row r="6" spans="1:7" ht="24" customHeight="1" thickBot="1" x14ac:dyDescent="0.35">
      <c r="A6" s="85" t="s">
        <v>23</v>
      </c>
      <c r="B6" s="802">
        <v>2024</v>
      </c>
      <c r="C6" s="802">
        <v>2023</v>
      </c>
      <c r="D6" s="108" t="s">
        <v>24</v>
      </c>
      <c r="E6" s="108"/>
      <c r="F6" s="802">
        <v>2024</v>
      </c>
      <c r="G6" s="803">
        <v>2023</v>
      </c>
    </row>
    <row r="7" spans="1:7" ht="17.25" thickTop="1" x14ac:dyDescent="0.3">
      <c r="A7" s="42"/>
      <c r="B7" s="43"/>
      <c r="C7" s="43"/>
      <c r="D7" s="43"/>
      <c r="E7" s="43"/>
      <c r="F7" s="43"/>
      <c r="G7" s="44"/>
    </row>
    <row r="8" spans="1:7" x14ac:dyDescent="0.3">
      <c r="A8" s="45" t="s">
        <v>25</v>
      </c>
      <c r="B8" s="46"/>
      <c r="C8" s="46"/>
      <c r="D8" s="48" t="s">
        <v>26</v>
      </c>
      <c r="E8" s="48"/>
      <c r="F8" s="46"/>
      <c r="G8" s="49"/>
    </row>
    <row r="9" spans="1:7" x14ac:dyDescent="0.3">
      <c r="A9" s="50" t="s">
        <v>27</v>
      </c>
      <c r="B9" s="1087">
        <v>3342521.77</v>
      </c>
      <c r="C9" s="1087">
        <v>2347200.67</v>
      </c>
      <c r="D9" s="1210" t="s">
        <v>28</v>
      </c>
      <c r="E9" s="1210"/>
      <c r="F9" s="1087">
        <v>20345134.289999999</v>
      </c>
      <c r="G9" s="1087">
        <v>13337507.039999999</v>
      </c>
    </row>
    <row r="10" spans="1:7" x14ac:dyDescent="0.3">
      <c r="A10" s="50" t="s">
        <v>29</v>
      </c>
      <c r="B10" s="1087">
        <v>121958.81</v>
      </c>
      <c r="C10" s="1087">
        <v>31668.98</v>
      </c>
      <c r="D10" s="1210" t="s">
        <v>30</v>
      </c>
      <c r="E10" s="1210"/>
      <c r="F10" s="51">
        <v>0</v>
      </c>
      <c r="G10" s="53">
        <v>0</v>
      </c>
    </row>
    <row r="11" spans="1:7" x14ac:dyDescent="0.3">
      <c r="A11" s="50" t="s">
        <v>31</v>
      </c>
      <c r="B11" s="1087">
        <v>12343231.779999999</v>
      </c>
      <c r="C11" s="1087">
        <v>6133347.3600000003</v>
      </c>
      <c r="D11" s="1210" t="s">
        <v>32</v>
      </c>
      <c r="E11" s="1210"/>
      <c r="F11" s="51">
        <v>0</v>
      </c>
      <c r="G11" s="53">
        <v>0</v>
      </c>
    </row>
    <row r="12" spans="1:7" x14ac:dyDescent="0.3">
      <c r="A12" s="50" t="s">
        <v>33</v>
      </c>
      <c r="B12" s="51">
        <v>0</v>
      </c>
      <c r="C12" s="51">
        <v>0</v>
      </c>
      <c r="D12" s="1210" t="s">
        <v>34</v>
      </c>
      <c r="E12" s="1210"/>
      <c r="F12" s="51">
        <v>0</v>
      </c>
      <c r="G12" s="53">
        <v>0</v>
      </c>
    </row>
    <row r="13" spans="1:7" x14ac:dyDescent="0.3">
      <c r="A13" s="50" t="s">
        <v>35</v>
      </c>
      <c r="B13" s="51">
        <v>0</v>
      </c>
      <c r="C13" s="51">
        <v>0</v>
      </c>
      <c r="D13" s="1210" t="s">
        <v>36</v>
      </c>
      <c r="E13" s="1210"/>
      <c r="F13" s="51">
        <v>0</v>
      </c>
      <c r="G13" s="53">
        <v>0</v>
      </c>
    </row>
    <row r="14" spans="1:7" ht="33" customHeight="1" x14ac:dyDescent="0.3">
      <c r="A14" s="496" t="s">
        <v>37</v>
      </c>
      <c r="B14" s="51">
        <v>0</v>
      </c>
      <c r="C14" s="51">
        <v>0</v>
      </c>
      <c r="D14" s="1210" t="s">
        <v>38</v>
      </c>
      <c r="E14" s="1210"/>
      <c r="F14" s="51">
        <v>0</v>
      </c>
      <c r="G14" s="53">
        <v>0</v>
      </c>
    </row>
    <row r="15" spans="1:7" x14ac:dyDescent="0.3">
      <c r="A15" s="50" t="s">
        <v>39</v>
      </c>
      <c r="B15" s="51">
        <v>0</v>
      </c>
      <c r="C15" s="51">
        <v>0</v>
      </c>
      <c r="D15" s="1210" t="s">
        <v>40</v>
      </c>
      <c r="E15" s="1210"/>
      <c r="F15" s="51">
        <v>0</v>
      </c>
      <c r="G15" s="53">
        <v>0</v>
      </c>
    </row>
    <row r="16" spans="1:7" x14ac:dyDescent="0.3">
      <c r="A16" s="55"/>
      <c r="B16" s="51"/>
      <c r="C16" s="51"/>
      <c r="D16" s="1210" t="s">
        <v>41</v>
      </c>
      <c r="E16" s="1210"/>
      <c r="F16" s="51">
        <v>116301.72</v>
      </c>
      <c r="G16" s="51">
        <v>116301.72</v>
      </c>
    </row>
    <row r="17" spans="1:7" x14ac:dyDescent="0.3">
      <c r="A17" s="55"/>
      <c r="B17" s="56"/>
      <c r="C17" s="56"/>
      <c r="D17" s="47"/>
      <c r="E17" s="47"/>
      <c r="F17" s="51"/>
      <c r="G17" s="53"/>
    </row>
    <row r="18" spans="1:7" x14ac:dyDescent="0.3">
      <c r="A18" s="89" t="s">
        <v>42</v>
      </c>
      <c r="B18" s="35">
        <f>SUM(B9:B17)</f>
        <v>15807712.359999999</v>
      </c>
      <c r="C18" s="35">
        <f>SUM(C9:C17)</f>
        <v>8512217.0099999998</v>
      </c>
      <c r="D18" s="90" t="s">
        <v>43</v>
      </c>
      <c r="E18" s="90"/>
      <c r="F18" s="35">
        <f>SUM(F9:F17)</f>
        <v>20461436.009999998</v>
      </c>
      <c r="G18" s="78">
        <f>SUM(G9:G17)</f>
        <v>13453808.76</v>
      </c>
    </row>
    <row r="19" spans="1:7" x14ac:dyDescent="0.3">
      <c r="A19" s="55"/>
      <c r="B19" s="57"/>
      <c r="C19" s="57"/>
      <c r="D19" s="58"/>
      <c r="E19" s="58"/>
      <c r="F19" s="57"/>
      <c r="G19" s="59"/>
    </row>
    <row r="20" spans="1:7" x14ac:dyDescent="0.3">
      <c r="A20" s="45" t="s">
        <v>44</v>
      </c>
      <c r="B20" s="51"/>
      <c r="C20" s="51"/>
      <c r="D20" s="48" t="s">
        <v>45</v>
      </c>
      <c r="E20" s="48"/>
      <c r="F20" s="60"/>
      <c r="G20" s="61"/>
    </row>
    <row r="21" spans="1:7" x14ac:dyDescent="0.3">
      <c r="A21" s="50" t="s">
        <v>46</v>
      </c>
      <c r="B21" s="51">
        <v>0</v>
      </c>
      <c r="C21" s="51">
        <v>0</v>
      </c>
      <c r="D21" s="52" t="s">
        <v>47</v>
      </c>
      <c r="E21" s="52"/>
      <c r="F21" s="51">
        <v>0</v>
      </c>
      <c r="G21" s="53">
        <v>0</v>
      </c>
    </row>
    <row r="22" spans="1:7" x14ac:dyDescent="0.3">
      <c r="A22" s="54" t="s">
        <v>48</v>
      </c>
      <c r="B22" s="51">
        <v>0</v>
      </c>
      <c r="C22" s="51">
        <v>0</v>
      </c>
      <c r="D22" s="739" t="s">
        <v>49</v>
      </c>
      <c r="E22" s="739"/>
      <c r="F22" s="51">
        <v>0</v>
      </c>
      <c r="G22" s="53">
        <v>0</v>
      </c>
    </row>
    <row r="23" spans="1:7" ht="16.5" customHeight="1" x14ac:dyDescent="0.3">
      <c r="A23" s="495" t="s">
        <v>50</v>
      </c>
      <c r="B23" s="51">
        <v>0</v>
      </c>
      <c r="C23" s="51">
        <v>0</v>
      </c>
      <c r="D23" s="52" t="s">
        <v>51</v>
      </c>
      <c r="E23" s="52"/>
      <c r="F23" s="51">
        <v>0</v>
      </c>
      <c r="G23" s="53">
        <v>0</v>
      </c>
    </row>
    <row r="24" spans="1:7" ht="16.5" customHeight="1" x14ac:dyDescent="0.3">
      <c r="A24" s="50" t="s">
        <v>52</v>
      </c>
      <c r="B24" s="1087">
        <v>7150778.25</v>
      </c>
      <c r="C24" s="1087">
        <v>6803488.3499999996</v>
      </c>
      <c r="D24" s="52" t="s">
        <v>53</v>
      </c>
      <c r="E24" s="52"/>
      <c r="F24" s="51">
        <v>0</v>
      </c>
      <c r="G24" s="53">
        <v>0</v>
      </c>
    </row>
    <row r="25" spans="1:7" ht="33" customHeight="1" x14ac:dyDescent="0.3">
      <c r="A25" s="497" t="s">
        <v>54</v>
      </c>
      <c r="B25" s="1087">
        <v>157220.53</v>
      </c>
      <c r="C25" s="1087">
        <v>157220.53</v>
      </c>
      <c r="D25" s="1210" t="s">
        <v>55</v>
      </c>
      <c r="E25" s="1210"/>
      <c r="F25" s="51">
        <v>0</v>
      </c>
      <c r="G25" s="53">
        <v>0</v>
      </c>
    </row>
    <row r="26" spans="1:7" x14ac:dyDescent="0.3">
      <c r="A26" s="54" t="s">
        <v>56</v>
      </c>
      <c r="B26" s="1089">
        <v>-5562240.3200000003</v>
      </c>
      <c r="C26" s="1089">
        <v>-5562240.3200000003</v>
      </c>
      <c r="D26" s="52" t="s">
        <v>57</v>
      </c>
      <c r="E26" s="52"/>
      <c r="F26" s="51">
        <v>0</v>
      </c>
      <c r="G26" s="53">
        <v>0</v>
      </c>
    </row>
    <row r="27" spans="1:7" x14ac:dyDescent="0.3">
      <c r="A27" s="50" t="s">
        <v>58</v>
      </c>
      <c r="B27" s="51">
        <v>0</v>
      </c>
      <c r="C27" s="51">
        <v>0</v>
      </c>
      <c r="D27" s="52"/>
      <c r="E27" s="52"/>
      <c r="F27" s="51"/>
      <c r="G27" s="53"/>
    </row>
    <row r="28" spans="1:7" x14ac:dyDescent="0.3">
      <c r="A28" s="54" t="s">
        <v>59</v>
      </c>
      <c r="B28" s="51">
        <v>0</v>
      </c>
      <c r="C28" s="51">
        <v>0</v>
      </c>
      <c r="D28" s="62"/>
      <c r="E28" s="62"/>
      <c r="F28" s="51"/>
      <c r="G28" s="53"/>
    </row>
    <row r="29" spans="1:7" x14ac:dyDescent="0.3">
      <c r="A29" s="50" t="s">
        <v>60</v>
      </c>
      <c r="B29" s="51">
        <v>0</v>
      </c>
      <c r="C29" s="51">
        <v>0</v>
      </c>
      <c r="D29" s="62"/>
      <c r="E29" s="62"/>
      <c r="F29" s="60"/>
      <c r="G29" s="61"/>
    </row>
    <row r="30" spans="1:7" x14ac:dyDescent="0.3">
      <c r="A30" s="63"/>
      <c r="B30" s="51"/>
      <c r="C30" s="51"/>
      <c r="D30" s="62"/>
      <c r="E30" s="62"/>
      <c r="F30" s="60"/>
      <c r="G30" s="61"/>
    </row>
    <row r="31" spans="1:7" x14ac:dyDescent="0.3">
      <c r="A31" s="89" t="s">
        <v>61</v>
      </c>
      <c r="B31" s="35">
        <f>SUM(B21:B29)</f>
        <v>1745758.46</v>
      </c>
      <c r="C31" s="35">
        <f>SUM(C21:C29)</f>
        <v>1398468.5599999996</v>
      </c>
      <c r="D31" s="91" t="s">
        <v>62</v>
      </c>
      <c r="E31" s="91"/>
      <c r="F31" s="35">
        <f>SUM(F21:F29)</f>
        <v>0</v>
      </c>
      <c r="G31" s="78">
        <f>SUM(G21:G29)</f>
        <v>0</v>
      </c>
    </row>
    <row r="32" spans="1:7" x14ac:dyDescent="0.3">
      <c r="A32" s="63"/>
      <c r="B32" s="51"/>
      <c r="C32" s="51"/>
      <c r="D32" s="62"/>
      <c r="E32" s="62"/>
      <c r="F32" s="56"/>
      <c r="G32" s="64"/>
    </row>
    <row r="33" spans="1:7" x14ac:dyDescent="0.3">
      <c r="A33" s="89" t="s">
        <v>63</v>
      </c>
      <c r="B33" s="35">
        <f>B31+B18</f>
        <v>17553470.82</v>
      </c>
      <c r="C33" s="35">
        <f>C31+C18</f>
        <v>9910685.5700000003</v>
      </c>
      <c r="D33" s="91" t="s">
        <v>64</v>
      </c>
      <c r="E33" s="91"/>
      <c r="F33" s="35">
        <f>F31+F18</f>
        <v>20461436.009999998</v>
      </c>
      <c r="G33" s="78">
        <f>G31+G18</f>
        <v>13453808.76</v>
      </c>
    </row>
    <row r="34" spans="1:7" x14ac:dyDescent="0.3">
      <c r="A34" s="55"/>
      <c r="B34" s="65"/>
      <c r="C34" s="65"/>
      <c r="D34" s="62"/>
      <c r="E34" s="62"/>
      <c r="F34" s="60"/>
      <c r="G34" s="61"/>
    </row>
    <row r="35" spans="1:7" x14ac:dyDescent="0.3">
      <c r="A35" s="55"/>
      <c r="B35" s="51"/>
      <c r="C35" s="51"/>
      <c r="D35" s="66" t="s">
        <v>65</v>
      </c>
      <c r="E35" s="66"/>
      <c r="F35" s="56"/>
      <c r="G35" s="64"/>
    </row>
    <row r="36" spans="1:7" x14ac:dyDescent="0.3">
      <c r="A36" s="55"/>
      <c r="B36" s="56"/>
      <c r="C36" s="56"/>
      <c r="D36" s="91" t="s">
        <v>66</v>
      </c>
      <c r="E36" s="91"/>
      <c r="F36" s="79">
        <f>SUM(F37:F39)</f>
        <v>195600</v>
      </c>
      <c r="G36" s="80">
        <f>SUM(G37:G39)</f>
        <v>195600</v>
      </c>
    </row>
    <row r="37" spans="1:7" x14ac:dyDescent="0.3">
      <c r="A37" s="55"/>
      <c r="B37" s="56"/>
      <c r="C37" s="56"/>
      <c r="D37" s="52" t="s">
        <v>67</v>
      </c>
      <c r="E37" s="52"/>
      <c r="F37" s="51">
        <v>0</v>
      </c>
      <c r="G37" s="53"/>
    </row>
    <row r="38" spans="1:7" x14ac:dyDescent="0.3">
      <c r="A38" s="55"/>
      <c r="B38" s="56"/>
      <c r="C38" s="56"/>
      <c r="D38" s="52" t="s">
        <v>68</v>
      </c>
      <c r="E38" s="52"/>
      <c r="F38" s="51">
        <v>195600</v>
      </c>
      <c r="G38" s="51">
        <v>195600</v>
      </c>
    </row>
    <row r="39" spans="1:7" ht="33" x14ac:dyDescent="0.3">
      <c r="A39" s="55"/>
      <c r="B39" s="56"/>
      <c r="C39" s="56"/>
      <c r="D39" s="52" t="s">
        <v>69</v>
      </c>
      <c r="E39" s="52"/>
      <c r="F39" s="51"/>
      <c r="G39" s="53">
        <v>0</v>
      </c>
    </row>
    <row r="40" spans="1:7" x14ac:dyDescent="0.3">
      <c r="A40" s="63"/>
      <c r="B40" s="57"/>
      <c r="C40" s="57"/>
      <c r="D40" s="91" t="s">
        <v>70</v>
      </c>
      <c r="E40" s="91"/>
      <c r="F40" s="79">
        <f>SUM(F41:F45)</f>
        <v>-3103565.19</v>
      </c>
      <c r="G40" s="80">
        <f>SUM(G41:G45)</f>
        <v>-3738723.1900000004</v>
      </c>
    </row>
    <row r="41" spans="1:7" x14ac:dyDescent="0.3">
      <c r="A41" s="63"/>
      <c r="B41" s="57"/>
      <c r="C41" s="57"/>
      <c r="D41" s="52" t="s">
        <v>71</v>
      </c>
      <c r="E41" s="52"/>
      <c r="F41" s="1089">
        <v>2091712.01</v>
      </c>
      <c r="G41" s="1089">
        <v>1816577.86</v>
      </c>
    </row>
    <row r="42" spans="1:7" x14ac:dyDescent="0.3">
      <c r="A42" s="63"/>
      <c r="B42" s="57"/>
      <c r="C42" s="57"/>
      <c r="D42" s="52" t="s">
        <v>72</v>
      </c>
      <c r="E42" s="52"/>
      <c r="F42" s="1089">
        <v>-1209296.5900000001</v>
      </c>
      <c r="G42" s="1089">
        <v>-3025874.45</v>
      </c>
    </row>
    <row r="43" spans="1:7" x14ac:dyDescent="0.3">
      <c r="A43" s="55"/>
      <c r="B43" s="56"/>
      <c r="C43" s="56"/>
      <c r="D43" s="52" t="s">
        <v>73</v>
      </c>
      <c r="E43" s="52"/>
      <c r="F43" s="1088">
        <v>0</v>
      </c>
      <c r="G43" s="1088">
        <v>0</v>
      </c>
    </row>
    <row r="44" spans="1:7" x14ac:dyDescent="0.3">
      <c r="A44" s="55"/>
      <c r="B44" s="56"/>
      <c r="C44" s="56"/>
      <c r="D44" s="52" t="s">
        <v>74</v>
      </c>
      <c r="E44" s="52"/>
      <c r="F44" s="1088"/>
      <c r="G44" s="1088"/>
    </row>
    <row r="45" spans="1:7" ht="33" x14ac:dyDescent="0.3">
      <c r="A45" s="55"/>
      <c r="B45" s="56"/>
      <c r="C45" s="56"/>
      <c r="D45" s="52" t="s">
        <v>75</v>
      </c>
      <c r="E45" s="52"/>
      <c r="F45" s="1089">
        <v>-3985980.61</v>
      </c>
      <c r="G45" s="1089">
        <v>-2529426.6</v>
      </c>
    </row>
    <row r="46" spans="1:7" ht="33" x14ac:dyDescent="0.3">
      <c r="A46" s="55"/>
      <c r="B46" s="56"/>
      <c r="C46" s="56"/>
      <c r="D46" s="92" t="s">
        <v>76</v>
      </c>
      <c r="E46" s="92"/>
      <c r="F46" s="81">
        <f>SUM(F47:F48)</f>
        <v>0</v>
      </c>
      <c r="G46" s="82">
        <f>SUM(G47:G48)</f>
        <v>0</v>
      </c>
    </row>
    <row r="47" spans="1:7" x14ac:dyDescent="0.3">
      <c r="A47" s="50"/>
      <c r="B47" s="56"/>
      <c r="C47" s="56"/>
      <c r="D47" s="52" t="s">
        <v>77</v>
      </c>
      <c r="E47" s="52"/>
      <c r="F47" s="51"/>
      <c r="G47" s="53">
        <v>0</v>
      </c>
    </row>
    <row r="48" spans="1:7" ht="33" x14ac:dyDescent="0.3">
      <c r="A48" s="67"/>
      <c r="B48" s="68"/>
      <c r="C48" s="68"/>
      <c r="D48" s="52" t="s">
        <v>78</v>
      </c>
      <c r="E48" s="52"/>
      <c r="F48" s="51">
        <v>0</v>
      </c>
      <c r="G48" s="53"/>
    </row>
    <row r="49" spans="1:8" x14ac:dyDescent="0.3">
      <c r="A49" s="55"/>
      <c r="B49" s="68"/>
      <c r="C49" s="68"/>
      <c r="D49" s="69"/>
      <c r="E49" s="69"/>
      <c r="F49" s="68"/>
      <c r="G49" s="70"/>
    </row>
    <row r="50" spans="1:8" x14ac:dyDescent="0.3">
      <c r="A50" s="50"/>
      <c r="B50" s="68"/>
      <c r="C50" s="68"/>
      <c r="D50" s="91" t="s">
        <v>79</v>
      </c>
      <c r="E50" s="91"/>
      <c r="F50" s="83">
        <f>F46+F40+F36</f>
        <v>-2907965.19</v>
      </c>
      <c r="G50" s="84">
        <f>G46+G40+G36</f>
        <v>-3543123.1900000004</v>
      </c>
    </row>
    <row r="51" spans="1:8" x14ac:dyDescent="0.3">
      <c r="A51" s="67"/>
      <c r="B51" s="68"/>
      <c r="C51" s="68"/>
      <c r="D51" s="58"/>
      <c r="E51" s="58"/>
      <c r="F51" s="71"/>
      <c r="G51" s="72"/>
    </row>
    <row r="52" spans="1:8" ht="33" x14ac:dyDescent="0.3">
      <c r="A52" s="55"/>
      <c r="D52" s="91" t="s">
        <v>80</v>
      </c>
      <c r="E52" s="91"/>
      <c r="F52" s="83">
        <f>F50+F33</f>
        <v>17553470.819999997</v>
      </c>
      <c r="G52" s="84">
        <f>G50+G33</f>
        <v>9910685.5700000003</v>
      </c>
      <c r="H52" s="707" t="str">
        <f>IF($B$33=$F$52,"","VALOR INCORRECTO!! TOTAL DE ACTIVOS TIENE QUE SER IGUAL AL TOTAL DE LA SUMA DE PASIVO Y HACIENDA")</f>
        <v/>
      </c>
    </row>
    <row r="53" spans="1:8" ht="17.25" thickBot="1" x14ac:dyDescent="0.35">
      <c r="A53" s="73"/>
      <c r="B53" s="74"/>
      <c r="C53" s="74"/>
      <c r="D53" s="75"/>
      <c r="E53" s="75"/>
      <c r="F53" s="76"/>
      <c r="G53" s="77"/>
      <c r="H53" s="707" t="str">
        <f>IF($C$33=$G$52,"","VALOR INCORRECTO!! TOTAL DE ACTIVOS TIENE QUE SER IGUAL AL TOTAL DE LA SUMA DE PASIVO Y HCIENDA")</f>
        <v/>
      </c>
    </row>
    <row r="54" spans="1:8" x14ac:dyDescent="0.3">
      <c r="A54" s="37" t="s">
        <v>81</v>
      </c>
      <c r="B54" s="459"/>
      <c r="C54" s="459"/>
      <c r="D54" s="39"/>
      <c r="E54" s="39"/>
      <c r="F54" s="460"/>
      <c r="G54" s="460"/>
      <c r="H54" s="707"/>
    </row>
    <row r="55" spans="1:8" x14ac:dyDescent="0.3">
      <c r="B55" s="459"/>
      <c r="C55" s="459"/>
      <c r="D55" s="39"/>
      <c r="E55" s="39"/>
      <c r="F55" s="460"/>
      <c r="G55" s="460"/>
      <c r="H55" s="707"/>
    </row>
    <row r="56" spans="1:8" x14ac:dyDescent="0.3">
      <c r="A56" s="39"/>
      <c r="B56" s="459"/>
      <c r="C56" s="459"/>
      <c r="D56" s="39"/>
      <c r="E56" s="39"/>
      <c r="F56" s="460"/>
      <c r="G56" s="460"/>
      <c r="H56" s="707"/>
    </row>
    <row r="57" spans="1:8" x14ac:dyDescent="0.3">
      <c r="A57" s="39"/>
      <c r="B57" s="459"/>
      <c r="C57" s="459"/>
      <c r="D57" s="39"/>
      <c r="E57" s="39"/>
      <c r="F57" s="460"/>
      <c r="G57" s="460"/>
      <c r="H57" s="707"/>
    </row>
    <row r="58" spans="1:8" x14ac:dyDescent="0.3">
      <c r="A58" s="39"/>
      <c r="B58" s="459"/>
      <c r="C58" s="459"/>
      <c r="D58" s="39"/>
      <c r="E58" s="39"/>
      <c r="F58" s="460"/>
      <c r="G58" s="460"/>
      <c r="H58" s="707"/>
    </row>
    <row r="61" spans="1:8" x14ac:dyDescent="0.3">
      <c r="B61" s="87"/>
      <c r="C61" s="88" t="s">
        <v>82</v>
      </c>
    </row>
  </sheetData>
  <sheetProtection formatColumns="0" formatRows="0" insertHyperlinks="0"/>
  <mergeCells count="15">
    <mergeCell ref="D13:E13"/>
    <mergeCell ref="D14:E14"/>
    <mergeCell ref="D15:E15"/>
    <mergeCell ref="D16:E16"/>
    <mergeCell ref="D25:E25"/>
    <mergeCell ref="D9:E9"/>
    <mergeCell ref="D10:E10"/>
    <mergeCell ref="D11:E11"/>
    <mergeCell ref="D12:E12"/>
    <mergeCell ref="A5:D5"/>
    <mergeCell ref="F5:G5"/>
    <mergeCell ref="A1:G1"/>
    <mergeCell ref="A2:G2"/>
    <mergeCell ref="A3:G3"/>
    <mergeCell ref="A4:G4"/>
  </mergeCells>
  <printOptions horizontalCentered="1"/>
  <pageMargins left="0.27559055118110237" right="0.15748031496062992" top="0.39370078740157483" bottom="0.51181102362204722" header="0.31496062992125984" footer="0.31496062992125984"/>
  <pageSetup scale="6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view="pageBreakPreview" zoomScale="115" zoomScaleNormal="100" zoomScaleSheetLayoutView="115" workbookViewId="0">
      <selection activeCell="F14" sqref="F14"/>
    </sheetView>
  </sheetViews>
  <sheetFormatPr baseColWidth="10" defaultColWidth="11.28515625" defaultRowHeight="16.5" x14ac:dyDescent="0.25"/>
  <cols>
    <col min="1" max="1" width="39.85546875" style="264" customWidth="1"/>
    <col min="2" max="7" width="13.7109375" style="264" customWidth="1"/>
    <col min="8" max="16384" width="11.28515625" style="264"/>
  </cols>
  <sheetData>
    <row r="1" spans="1:7" x14ac:dyDescent="0.25">
      <c r="A1" s="1237" t="s">
        <v>1028</v>
      </c>
      <c r="B1" s="1237"/>
      <c r="C1" s="1237"/>
      <c r="D1" s="1237"/>
      <c r="E1" s="1237"/>
      <c r="F1" s="1237"/>
      <c r="G1" s="1237"/>
    </row>
    <row r="2" spans="1:7" s="266" customFormat="1" x14ac:dyDescent="0.25">
      <c r="A2" s="1237" t="s">
        <v>465</v>
      </c>
      <c r="B2" s="1237"/>
      <c r="C2" s="1237"/>
      <c r="D2" s="1237"/>
      <c r="E2" s="1237"/>
      <c r="F2" s="1237"/>
      <c r="G2" s="1237"/>
    </row>
    <row r="3" spans="1:7" s="266" customFormat="1" x14ac:dyDescent="0.25">
      <c r="A3" s="1237" t="s">
        <v>627</v>
      </c>
      <c r="B3" s="1237"/>
      <c r="C3" s="1237"/>
      <c r="D3" s="1237"/>
      <c r="E3" s="1237"/>
      <c r="F3" s="1237"/>
      <c r="G3" s="1237"/>
    </row>
    <row r="4" spans="1:7" s="266" customFormat="1" x14ac:dyDescent="0.25">
      <c r="A4" s="1236"/>
      <c r="B4" s="1236"/>
      <c r="C4" s="1236"/>
      <c r="D4" s="1236"/>
      <c r="E4" s="1236"/>
      <c r="F4" s="1236"/>
      <c r="G4" s="1236"/>
    </row>
    <row r="5" spans="1:7" s="266" customFormat="1" x14ac:dyDescent="0.25">
      <c r="A5" s="1238" t="str">
        <f>'CPCA-I-03'!A4:D4</f>
        <v>Del 01 de ENERO al 31 de DICIEMBRE de 2024</v>
      </c>
      <c r="B5" s="1238"/>
      <c r="C5" s="1238"/>
      <c r="D5" s="1238"/>
      <c r="E5" s="1238"/>
      <c r="F5" s="1238"/>
      <c r="G5" s="1238"/>
    </row>
    <row r="6" spans="1:7" s="266" customFormat="1" ht="17.25" thickBot="1" x14ac:dyDescent="0.3">
      <c r="A6" s="1415" t="s">
        <v>628</v>
      </c>
      <c r="B6" s="1415"/>
      <c r="C6" s="1415"/>
      <c r="D6" s="1415"/>
      <c r="E6" s="1415"/>
      <c r="F6" s="153"/>
      <c r="G6" s="738"/>
    </row>
    <row r="7" spans="1:7" s="277" customFormat="1" ht="38.25" x14ac:dyDescent="0.25">
      <c r="A7" s="1442" t="s">
        <v>627</v>
      </c>
      <c r="B7" s="188" t="s">
        <v>469</v>
      </c>
      <c r="C7" s="188" t="s">
        <v>397</v>
      </c>
      <c r="D7" s="188" t="s">
        <v>470</v>
      </c>
      <c r="E7" s="189" t="s">
        <v>471</v>
      </c>
      <c r="F7" s="189" t="s">
        <v>472</v>
      </c>
      <c r="G7" s="190" t="s">
        <v>473</v>
      </c>
    </row>
    <row r="8" spans="1:7" s="280" customFormat="1" ht="17.25" thickBot="1" x14ac:dyDescent="0.3">
      <c r="A8" s="1443"/>
      <c r="B8" s="278" t="s">
        <v>377</v>
      </c>
      <c r="C8" s="278" t="s">
        <v>378</v>
      </c>
      <c r="D8" s="278" t="s">
        <v>474</v>
      </c>
      <c r="E8" s="278" t="s">
        <v>380</v>
      </c>
      <c r="F8" s="278" t="s">
        <v>381</v>
      </c>
      <c r="G8" s="279" t="s">
        <v>475</v>
      </c>
    </row>
    <row r="9" spans="1:7" ht="21" customHeight="1" x14ac:dyDescent="0.25">
      <c r="A9" s="281" t="s">
        <v>1221</v>
      </c>
      <c r="B9" s="1169">
        <v>6618195.5599999996</v>
      </c>
      <c r="C9" s="1178">
        <v>-75224.320000000007</v>
      </c>
      <c r="D9" s="1165">
        <f>IF($A9="","",B9+C9)</f>
        <v>6542971.2399999993</v>
      </c>
      <c r="E9" s="1178">
        <v>6164802.2400000002</v>
      </c>
      <c r="F9" s="1178">
        <v>6049960.3099999996</v>
      </c>
      <c r="G9" s="1050">
        <f>IF($A9="","",D9-E9)</f>
        <v>378168.99999999907</v>
      </c>
    </row>
    <row r="10" spans="1:7" ht="21" customHeight="1" x14ac:dyDescent="0.25">
      <c r="A10" s="281" t="s">
        <v>1222</v>
      </c>
      <c r="B10" s="1170">
        <v>10219024.92</v>
      </c>
      <c r="C10" s="1178">
        <v>992516.67</v>
      </c>
      <c r="D10" s="1166">
        <f t="shared" ref="D10:D31" si="0">IF($A10="","",B10+C10)</f>
        <v>11211541.59</v>
      </c>
      <c r="E10" s="1178">
        <v>11218115.74</v>
      </c>
      <c r="F10" s="1178">
        <v>10597420.060000001</v>
      </c>
      <c r="G10" s="1050">
        <f t="shared" ref="G10:G31" si="1">IF($A10="","",D10-E10)</f>
        <v>-6574.1500000003725</v>
      </c>
    </row>
    <row r="11" spans="1:7" ht="21" customHeight="1" x14ac:dyDescent="0.25">
      <c r="A11" s="281" t="s">
        <v>1223</v>
      </c>
      <c r="B11" s="1170">
        <v>5713021.9199999999</v>
      </c>
      <c r="C11" s="1178">
        <v>-37123.129999999997</v>
      </c>
      <c r="D11" s="1166">
        <f t="shared" si="0"/>
        <v>5675898.79</v>
      </c>
      <c r="E11" s="1178">
        <v>5675898.79</v>
      </c>
      <c r="F11" s="1178">
        <v>5433550.7599999998</v>
      </c>
      <c r="G11" s="1050">
        <f t="shared" si="1"/>
        <v>0</v>
      </c>
    </row>
    <row r="12" spans="1:7" ht="21" customHeight="1" x14ac:dyDescent="0.25">
      <c r="A12" s="281" t="s">
        <v>1224</v>
      </c>
      <c r="B12" s="1170">
        <v>4592174.59</v>
      </c>
      <c r="C12" s="1178">
        <v>1382340.02</v>
      </c>
      <c r="D12" s="1166">
        <f t="shared" si="0"/>
        <v>5974514.6099999994</v>
      </c>
      <c r="E12" s="1178">
        <v>4352561.4400000004</v>
      </c>
      <c r="F12" s="1178">
        <v>4187491.81</v>
      </c>
      <c r="G12" s="1050">
        <f t="shared" si="1"/>
        <v>1621953.169999999</v>
      </c>
    </row>
    <row r="13" spans="1:7" ht="21" customHeight="1" x14ac:dyDescent="0.25">
      <c r="A13" s="281" t="s">
        <v>1225</v>
      </c>
      <c r="B13" s="1170">
        <v>5110643.09</v>
      </c>
      <c r="C13" s="1178">
        <v>2733646.16</v>
      </c>
      <c r="D13" s="1166">
        <f t="shared" si="0"/>
        <v>7844289.25</v>
      </c>
      <c r="E13" s="1178">
        <v>7470299.3499999996</v>
      </c>
      <c r="F13" s="1178">
        <v>7311663.7000000002</v>
      </c>
      <c r="G13" s="1050">
        <f t="shared" si="1"/>
        <v>373989.90000000037</v>
      </c>
    </row>
    <row r="14" spans="1:7" ht="21" customHeight="1" x14ac:dyDescent="0.25">
      <c r="A14" s="281"/>
      <c r="B14" s="1167"/>
      <c r="C14" s="1163"/>
      <c r="D14" s="1166"/>
      <c r="E14" s="1163"/>
      <c r="F14" s="1163"/>
      <c r="G14" s="1050"/>
    </row>
    <row r="15" spans="1:7" ht="21" customHeight="1" x14ac:dyDescent="0.25">
      <c r="A15" s="281"/>
      <c r="B15" s="1051"/>
      <c r="C15" s="1051"/>
      <c r="D15" s="1051" t="str">
        <f t="shared" si="0"/>
        <v/>
      </c>
      <c r="E15" s="1051"/>
      <c r="F15" s="1052"/>
      <c r="G15" s="1050" t="str">
        <f t="shared" si="1"/>
        <v/>
      </c>
    </row>
    <row r="16" spans="1:7" ht="21" customHeight="1" x14ac:dyDescent="0.25">
      <c r="A16" s="281"/>
      <c r="B16" s="440"/>
      <c r="C16" s="440"/>
      <c r="D16" s="440" t="str">
        <f t="shared" si="0"/>
        <v/>
      </c>
      <c r="E16" s="440"/>
      <c r="F16" s="440"/>
      <c r="G16" s="485" t="str">
        <f t="shared" si="1"/>
        <v/>
      </c>
    </row>
    <row r="17" spans="1:8" ht="21" customHeight="1" x14ac:dyDescent="0.25">
      <c r="A17" s="281"/>
      <c r="B17" s="440"/>
      <c r="C17" s="440"/>
      <c r="D17" s="440" t="str">
        <f t="shared" si="0"/>
        <v/>
      </c>
      <c r="E17" s="440"/>
      <c r="F17" s="440"/>
      <c r="G17" s="485" t="str">
        <f t="shared" si="1"/>
        <v/>
      </c>
    </row>
    <row r="18" spans="1:8" ht="21" customHeight="1" x14ac:dyDescent="0.25">
      <c r="A18" s="281"/>
      <c r="B18" s="440"/>
      <c r="C18" s="440"/>
      <c r="D18" s="440" t="str">
        <f t="shared" si="0"/>
        <v/>
      </c>
      <c r="E18" s="440"/>
      <c r="F18" s="440"/>
      <c r="G18" s="485" t="str">
        <f t="shared" si="1"/>
        <v/>
      </c>
    </row>
    <row r="19" spans="1:8" ht="21" customHeight="1" x14ac:dyDescent="0.25">
      <c r="A19" s="281"/>
      <c r="B19" s="440"/>
      <c r="C19" s="440"/>
      <c r="D19" s="440" t="str">
        <f t="shared" si="0"/>
        <v/>
      </c>
      <c r="E19" s="440"/>
      <c r="F19" s="440"/>
      <c r="G19" s="485" t="str">
        <f t="shared" si="1"/>
        <v/>
      </c>
    </row>
    <row r="20" spans="1:8" ht="21" customHeight="1" x14ac:dyDescent="0.25">
      <c r="A20" s="281"/>
      <c r="B20" s="440"/>
      <c r="C20" s="440"/>
      <c r="D20" s="440" t="str">
        <f t="shared" si="0"/>
        <v/>
      </c>
      <c r="E20" s="440"/>
      <c r="F20" s="440"/>
      <c r="G20" s="485" t="str">
        <f t="shared" si="1"/>
        <v/>
      </c>
    </row>
    <row r="21" spans="1:8" ht="21" customHeight="1" x14ac:dyDescent="0.25">
      <c r="A21" s="281"/>
      <c r="B21" s="440"/>
      <c r="C21" s="440"/>
      <c r="D21" s="440" t="str">
        <f t="shared" si="0"/>
        <v/>
      </c>
      <c r="E21" s="440"/>
      <c r="F21" s="440"/>
      <c r="G21" s="485" t="str">
        <f t="shared" si="1"/>
        <v/>
      </c>
    </row>
    <row r="22" spans="1:8" ht="21" customHeight="1" x14ac:dyDescent="0.25">
      <c r="A22" s="281"/>
      <c r="B22" s="440"/>
      <c r="C22" s="440"/>
      <c r="D22" s="440" t="str">
        <f t="shared" si="0"/>
        <v/>
      </c>
      <c r="E22" s="440"/>
      <c r="F22" s="440"/>
      <c r="G22" s="485" t="str">
        <f t="shared" si="1"/>
        <v/>
      </c>
    </row>
    <row r="23" spans="1:8" ht="21" customHeight="1" x14ac:dyDescent="0.25">
      <c r="A23" s="281"/>
      <c r="B23" s="440"/>
      <c r="C23" s="440"/>
      <c r="D23" s="440" t="str">
        <f t="shared" si="0"/>
        <v/>
      </c>
      <c r="E23" s="440"/>
      <c r="F23" s="440"/>
      <c r="G23" s="485" t="str">
        <f t="shared" si="1"/>
        <v/>
      </c>
    </row>
    <row r="24" spans="1:8" ht="21" customHeight="1" x14ac:dyDescent="0.25">
      <c r="A24" s="281"/>
      <c r="B24" s="440"/>
      <c r="C24" s="440"/>
      <c r="D24" s="440" t="str">
        <f t="shared" si="0"/>
        <v/>
      </c>
      <c r="E24" s="440"/>
      <c r="F24" s="440"/>
      <c r="G24" s="485" t="str">
        <f t="shared" si="1"/>
        <v/>
      </c>
    </row>
    <row r="25" spans="1:8" ht="21" customHeight="1" x14ac:dyDescent="0.25">
      <c r="A25" s="281"/>
      <c r="B25" s="440"/>
      <c r="C25" s="440"/>
      <c r="D25" s="440" t="str">
        <f t="shared" si="0"/>
        <v/>
      </c>
      <c r="E25" s="440"/>
      <c r="F25" s="440"/>
      <c r="G25" s="485" t="str">
        <f t="shared" si="1"/>
        <v/>
      </c>
    </row>
    <row r="26" spans="1:8" ht="21" customHeight="1" x14ac:dyDescent="0.25">
      <c r="A26" s="281"/>
      <c r="B26" s="440"/>
      <c r="C26" s="440"/>
      <c r="D26" s="440" t="str">
        <f t="shared" si="0"/>
        <v/>
      </c>
      <c r="E26" s="440"/>
      <c r="F26" s="440"/>
      <c r="G26" s="485" t="str">
        <f t="shared" si="1"/>
        <v/>
      </c>
    </row>
    <row r="27" spans="1:8" ht="21" customHeight="1" x14ac:dyDescent="0.25">
      <c r="A27" s="281"/>
      <c r="B27" s="440"/>
      <c r="C27" s="440"/>
      <c r="D27" s="440" t="str">
        <f t="shared" si="0"/>
        <v/>
      </c>
      <c r="E27" s="440"/>
      <c r="F27" s="440"/>
      <c r="G27" s="485" t="str">
        <f t="shared" si="1"/>
        <v/>
      </c>
    </row>
    <row r="28" spans="1:8" ht="21" customHeight="1" x14ac:dyDescent="0.25">
      <c r="A28" s="281"/>
      <c r="B28" s="440"/>
      <c r="C28" s="440"/>
      <c r="D28" s="440" t="str">
        <f t="shared" si="0"/>
        <v/>
      </c>
      <c r="E28" s="440"/>
      <c r="F28" s="440"/>
      <c r="G28" s="485" t="str">
        <f t="shared" si="1"/>
        <v/>
      </c>
    </row>
    <row r="29" spans="1:8" ht="21" customHeight="1" x14ac:dyDescent="0.25">
      <c r="A29" s="281"/>
      <c r="B29" s="440"/>
      <c r="C29" s="440"/>
      <c r="D29" s="440" t="str">
        <f t="shared" si="0"/>
        <v/>
      </c>
      <c r="E29" s="440"/>
      <c r="F29" s="440"/>
      <c r="G29" s="485" t="str">
        <f t="shared" si="1"/>
        <v/>
      </c>
    </row>
    <row r="30" spans="1:8" ht="21" customHeight="1" x14ac:dyDescent="0.25">
      <c r="A30" s="281"/>
      <c r="B30" s="440"/>
      <c r="C30" s="440"/>
      <c r="D30" s="440" t="str">
        <f t="shared" si="0"/>
        <v/>
      </c>
      <c r="E30" s="440"/>
      <c r="F30" s="440"/>
      <c r="G30" s="485" t="str">
        <f t="shared" si="1"/>
        <v/>
      </c>
    </row>
    <row r="31" spans="1:8" ht="21" customHeight="1" thickBot="1" x14ac:dyDescent="0.3">
      <c r="A31" s="281"/>
      <c r="B31" s="440"/>
      <c r="C31" s="440"/>
      <c r="D31" s="440" t="str">
        <f t="shared" si="0"/>
        <v/>
      </c>
      <c r="E31" s="440"/>
      <c r="F31" s="440"/>
      <c r="G31" s="485" t="str">
        <f t="shared" si="1"/>
        <v/>
      </c>
    </row>
    <row r="32" spans="1:8" ht="21" customHeight="1" thickBot="1" x14ac:dyDescent="0.3">
      <c r="A32" s="282" t="s">
        <v>525</v>
      </c>
      <c r="B32" s="434">
        <f>SUM(B9:B31)</f>
        <v>32253060.079999998</v>
      </c>
      <c r="C32" s="434">
        <f>SUM(C9:C31)</f>
        <v>4996155.4000000004</v>
      </c>
      <c r="D32" s="434">
        <f>IF($A32="","",B32+C32)</f>
        <v>37249215.479999997</v>
      </c>
      <c r="E32" s="434">
        <f>SUM(E9:E31)</f>
        <v>34881677.560000002</v>
      </c>
      <c r="F32" s="434">
        <f>SUM(F9:F31)</f>
        <v>33580086.640000001</v>
      </c>
      <c r="G32" s="435">
        <f>IF($A32="","",D32-E32)</f>
        <v>2367537.9199999943</v>
      </c>
      <c r="H32" s="267" t="str">
        <f>IF(($B$32-'CPCA II-04'!B81)&gt;0.9,"ERROR!!!!! EL MONTO NO COINCIDE CON LO REPORTADO EN EL FORMATO ETCA-II-04 EN EL TOTAL APROBADO ANUAL DEL ANALÍTICO DE EGRESOS","")</f>
        <v/>
      </c>
    </row>
    <row r="33" spans="8:8" x14ac:dyDescent="0.25">
      <c r="H33" s="267" t="str">
        <f>IF(($C$32-'CPCA II-04'!C81)&gt;0.9,"ERROR!!!!! EL MONTO NO COINCIDE CON LO REPORTADO EN EL FORMATO ETCA-II-04 EN EL TOTAL AMPLIACIONES/REDUCCIONES ANUAL DEL ANALÍTICO DE EGRESOS","")</f>
        <v/>
      </c>
    </row>
    <row r="34" spans="8:8" x14ac:dyDescent="0.25">
      <c r="H34" s="267" t="str">
        <f>IF(($D$32-'CPCA II-04'!D81)&gt;0.9,"ERROR!!!!! EL MONTO NO COINCIDE CON LO REPORTADO EN EL FORMATO ETCA-II-04 EN EL TOTAL MODIFICADO ANUAL DEL ANALÍTICO DE EGRESOS","")</f>
        <v/>
      </c>
    </row>
    <row r="35" spans="8:8" x14ac:dyDescent="0.25">
      <c r="H35" s="267" t="str">
        <f>IF(($E$32-'CPCA II-04'!E81)&gt;0.9,"ERROR!!!!! EL MONTO NO COINCIDE CON LO REPORTADO EN EL FORMATO ETCA-II-04 EN EL TOTAL DEVENGADO ANUAL DEL ANALÍTICO DE EGRESOS","")</f>
        <v/>
      </c>
    </row>
    <row r="36" spans="8:8" x14ac:dyDescent="0.25">
      <c r="H36" s="267" t="str">
        <f>IF(($F$32-'CPCA II-04'!F81)&gt;0.9,"ERROR!!!!! EL MONTO NO COINCIDE CON LO REPORTADO EN EL FORMATO ETCA-II-04 EN EL TOTAL PAGADO ANUAL DEL ANALÍTICO DE EGRESOS","")</f>
        <v/>
      </c>
    </row>
    <row r="37" spans="8:8" x14ac:dyDescent="0.25">
      <c r="H37" s="267" t="str">
        <f>IF(($G$32-'CPCA II-04'!G81)&gt;0.9,"ERROR!!!!! EL MONTO NO COINCIDE CON LO REPORTADO EN EL FORMATO ETCA-II-04 EN EL TOTAL APROBADO ANUAL DEL ANALÍTICO DE EGRESOS","")</f>
        <v/>
      </c>
    </row>
  </sheetData>
  <sheetProtection formatColumns="0" formatRows="0" insertRows="0" deleteColumns="0" deleteRows="0"/>
  <mergeCells count="7">
    <mergeCell ref="A7:A8"/>
    <mergeCell ref="A1:G1"/>
    <mergeCell ref="A2:G2"/>
    <mergeCell ref="A3:G3"/>
    <mergeCell ref="A4:G4"/>
    <mergeCell ref="A5:G5"/>
    <mergeCell ref="A6:E6"/>
  </mergeCells>
  <printOptions horizontalCentered="1"/>
  <pageMargins left="0.51181102362204722" right="0.15748031496062992" top="0.74803149606299213" bottom="0.74803149606299213" header="0.31496062992125984" footer="0.31496062992125984"/>
  <pageSetup scale="7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4" zoomScaleNormal="100" zoomScaleSheetLayoutView="100" workbookViewId="0">
      <selection activeCell="G31" sqref="G31"/>
    </sheetView>
  </sheetViews>
  <sheetFormatPr baseColWidth="10" defaultColWidth="11.42578125" defaultRowHeight="15" x14ac:dyDescent="0.25"/>
  <cols>
    <col min="1" max="1" width="32.42578125" customWidth="1"/>
    <col min="2" max="2" width="12.140625" customWidth="1"/>
    <col min="3" max="3" width="13.140625" customWidth="1"/>
    <col min="4" max="4" width="12.42578125" customWidth="1"/>
    <col min="5" max="5" width="12.85546875" customWidth="1"/>
    <col min="6" max="6" width="14" customWidth="1"/>
    <col min="7" max="7" width="15.42578125" customWidth="1"/>
  </cols>
  <sheetData>
    <row r="1" spans="1:7" s="687" customFormat="1" ht="15.75" x14ac:dyDescent="0.2">
      <c r="A1" s="1449" t="s">
        <v>1028</v>
      </c>
      <c r="B1" s="1450"/>
      <c r="C1" s="1450"/>
      <c r="D1" s="1450"/>
      <c r="E1" s="1450"/>
      <c r="F1" s="1450"/>
      <c r="G1" s="1451"/>
    </row>
    <row r="2" spans="1:7" s="687" customFormat="1" ht="15.75" x14ac:dyDescent="0.2">
      <c r="A2" s="1458"/>
      <c r="B2" s="1459"/>
      <c r="C2" s="1459"/>
      <c r="D2" s="1459"/>
      <c r="E2" s="1459"/>
      <c r="F2" s="1459"/>
      <c r="G2" s="1460"/>
    </row>
    <row r="3" spans="1:7" s="687" customFormat="1" ht="12.75" x14ac:dyDescent="0.2">
      <c r="A3" s="1452" t="s">
        <v>526</v>
      </c>
      <c r="B3" s="1453"/>
      <c r="C3" s="1453"/>
      <c r="D3" s="1453"/>
      <c r="E3" s="1453"/>
      <c r="F3" s="1453"/>
      <c r="G3" s="1454"/>
    </row>
    <row r="4" spans="1:7" s="687" customFormat="1" ht="12.75" x14ac:dyDescent="0.2">
      <c r="A4" s="1452" t="s">
        <v>629</v>
      </c>
      <c r="B4" s="1453"/>
      <c r="C4" s="1453"/>
      <c r="D4" s="1453"/>
      <c r="E4" s="1453"/>
      <c r="F4" s="1453"/>
      <c r="G4" s="1454"/>
    </row>
    <row r="5" spans="1:7" s="687" customFormat="1" ht="12.75" x14ac:dyDescent="0.2">
      <c r="A5" s="1452" t="str">
        <f>'CPCA-I-03'!A4:D4</f>
        <v>Del 01 de ENERO al 31 de DICIEMBRE de 2024</v>
      </c>
      <c r="B5" s="1453"/>
      <c r="C5" s="1453"/>
      <c r="D5" s="1453"/>
      <c r="E5" s="1453"/>
      <c r="F5" s="1453"/>
      <c r="G5" s="1454"/>
    </row>
    <row r="6" spans="1:7" s="687" customFormat="1" ht="20.25" customHeight="1" thickBot="1" x14ac:dyDescent="0.25">
      <c r="A6" s="1455" t="s">
        <v>84</v>
      </c>
      <c r="B6" s="1456"/>
      <c r="C6" s="1456"/>
      <c r="D6" s="1456"/>
      <c r="E6" s="1456"/>
      <c r="F6" s="1456"/>
      <c r="G6" s="1457"/>
    </row>
    <row r="7" spans="1:7" s="687" customFormat="1" ht="13.5" thickBot="1" x14ac:dyDescent="0.25">
      <c r="A7" s="1444" t="s">
        <v>85</v>
      </c>
      <c r="B7" s="1446" t="s">
        <v>528</v>
      </c>
      <c r="C7" s="1447"/>
      <c r="D7" s="1447"/>
      <c r="E7" s="1447"/>
      <c r="F7" s="1448"/>
      <c r="G7" s="1444" t="s">
        <v>529</v>
      </c>
    </row>
    <row r="8" spans="1:7" s="687" customFormat="1" ht="26.25" thickBot="1" x14ac:dyDescent="0.25">
      <c r="A8" s="1445"/>
      <c r="B8" s="752" t="s">
        <v>530</v>
      </c>
      <c r="C8" s="752" t="s">
        <v>397</v>
      </c>
      <c r="D8" s="752" t="s">
        <v>398</v>
      </c>
      <c r="E8" s="752" t="s">
        <v>399</v>
      </c>
      <c r="F8" s="752" t="s">
        <v>630</v>
      </c>
      <c r="G8" s="1445"/>
    </row>
    <row r="9" spans="1:7" s="488" customFormat="1" ht="12.75" x14ac:dyDescent="0.2">
      <c r="A9" s="572" t="s">
        <v>631</v>
      </c>
      <c r="B9" s="685"/>
      <c r="C9" s="685"/>
      <c r="D9" s="685"/>
      <c r="E9" s="685"/>
      <c r="F9" s="685"/>
      <c r="G9" s="685"/>
    </row>
    <row r="10" spans="1:7" s="488" customFormat="1" ht="12.75" x14ac:dyDescent="0.2">
      <c r="A10" s="572" t="s">
        <v>632</v>
      </c>
      <c r="B10" s="662">
        <f t="shared" ref="B10:G10" si="0">SUM(B11:B18)</f>
        <v>32253060.079999998</v>
      </c>
      <c r="C10" s="662">
        <f t="shared" si="0"/>
        <v>4996155.4000000004</v>
      </c>
      <c r="D10" s="662">
        <f t="shared" si="0"/>
        <v>37249215.479999997</v>
      </c>
      <c r="E10" s="662">
        <f t="shared" si="0"/>
        <v>34881677.560000002</v>
      </c>
      <c r="F10" s="662">
        <f t="shared" si="0"/>
        <v>33580086.640000001</v>
      </c>
      <c r="G10" s="662">
        <f t="shared" si="0"/>
        <v>2367537.9199999981</v>
      </c>
    </row>
    <row r="11" spans="1:7" s="488" customFormat="1" ht="12.75" x14ac:dyDescent="0.2">
      <c r="A11" s="573" t="str">
        <f>'CPCA-II-07'!A9</f>
        <v>DIRECCION GENERAL</v>
      </c>
      <c r="B11" s="662">
        <f>'CPCA-II-07'!B9</f>
        <v>6618195.5599999996</v>
      </c>
      <c r="C11" s="662">
        <f>'CPCA-II-07'!C9</f>
        <v>-75224.320000000007</v>
      </c>
      <c r="D11" s="662">
        <f>B11+C11</f>
        <v>6542971.2399999993</v>
      </c>
      <c r="E11" s="662">
        <f>'CPCA-II-07'!E9</f>
        <v>6164802.2400000002</v>
      </c>
      <c r="F11" s="662">
        <f>'CPCA-II-07'!F9</f>
        <v>6049960.3099999996</v>
      </c>
      <c r="G11" s="662">
        <f>+D11-E11</f>
        <v>378168.99999999907</v>
      </c>
    </row>
    <row r="12" spans="1:7" s="488" customFormat="1" ht="12.75" x14ac:dyDescent="0.2">
      <c r="A12" s="573" t="str">
        <f>'CPCA-II-07'!A10</f>
        <v>DIRECCION DE OPERACIONES</v>
      </c>
      <c r="B12" s="662">
        <f>'CPCA-II-07'!B10</f>
        <v>10219024.92</v>
      </c>
      <c r="C12" s="662">
        <f>'CPCA-II-07'!C10</f>
        <v>992516.67</v>
      </c>
      <c r="D12" s="662">
        <f t="shared" ref="D12:D18" si="1">B12+C12</f>
        <v>11211541.59</v>
      </c>
      <c r="E12" s="662">
        <f>'CPCA-II-07'!E10</f>
        <v>11218115.74</v>
      </c>
      <c r="F12" s="662">
        <f>'CPCA-II-07'!F10</f>
        <v>10597420.060000001</v>
      </c>
      <c r="G12" s="662">
        <f t="shared" ref="G12:G18" si="2">+D12-E12</f>
        <v>-6574.1500000003725</v>
      </c>
    </row>
    <row r="13" spans="1:7" s="488" customFormat="1" ht="12.75" x14ac:dyDescent="0.2">
      <c r="A13" s="573" t="str">
        <f>'CPCA-II-07'!A11</f>
        <v>DIRECCION DE NOTICIAS</v>
      </c>
      <c r="B13" s="662">
        <f>'CPCA-II-07'!B11</f>
        <v>5713021.9199999999</v>
      </c>
      <c r="C13" s="662">
        <f>'CPCA-II-07'!C11</f>
        <v>-37123.129999999997</v>
      </c>
      <c r="D13" s="662">
        <f t="shared" si="1"/>
        <v>5675898.79</v>
      </c>
      <c r="E13" s="662">
        <f>'CPCA-II-07'!E11</f>
        <v>5675898.79</v>
      </c>
      <c r="F13" s="662">
        <f>'CPCA-II-07'!F11</f>
        <v>5433550.7599999998</v>
      </c>
      <c r="G13" s="662">
        <f t="shared" si="2"/>
        <v>0</v>
      </c>
    </row>
    <row r="14" spans="1:7" s="488" customFormat="1" ht="12.75" x14ac:dyDescent="0.2">
      <c r="A14" s="573" t="str">
        <f>'CPCA-II-07'!A12</f>
        <v>DIRECCION TECNICA</v>
      </c>
      <c r="B14" s="662">
        <f>'CPCA-II-07'!B12</f>
        <v>4592174.59</v>
      </c>
      <c r="C14" s="662">
        <f>'CPCA-II-07'!C12</f>
        <v>1382340.02</v>
      </c>
      <c r="D14" s="662">
        <f t="shared" si="1"/>
        <v>5974514.6099999994</v>
      </c>
      <c r="E14" s="662">
        <f>'CPCA-II-07'!E12</f>
        <v>4352561.4400000004</v>
      </c>
      <c r="F14" s="662">
        <f>'CPCA-II-07'!F12</f>
        <v>4187491.81</v>
      </c>
      <c r="G14" s="662">
        <f t="shared" si="2"/>
        <v>1621953.169999999</v>
      </c>
    </row>
    <row r="15" spans="1:7" s="488" customFormat="1" ht="12.75" x14ac:dyDescent="0.2">
      <c r="A15" s="573" t="str">
        <f>'CPCA-II-07'!A13</f>
        <v>DIRECCION DE ADMINISTRACION</v>
      </c>
      <c r="B15" s="662">
        <f>'CPCA-II-07'!B13</f>
        <v>5110643.09</v>
      </c>
      <c r="C15" s="662">
        <f>'CPCA-II-07'!C13</f>
        <v>2733646.16</v>
      </c>
      <c r="D15" s="662">
        <f t="shared" si="1"/>
        <v>7844289.25</v>
      </c>
      <c r="E15" s="662">
        <f>'CPCA-II-07'!E13</f>
        <v>7470299.3499999996</v>
      </c>
      <c r="F15" s="662">
        <f>'CPCA-II-07'!F13</f>
        <v>7311663.7000000002</v>
      </c>
      <c r="G15" s="662">
        <f t="shared" si="2"/>
        <v>373989.90000000037</v>
      </c>
    </row>
    <row r="16" spans="1:7" s="488" customFormat="1" ht="12.75" x14ac:dyDescent="0.2">
      <c r="A16" s="573">
        <f>'CPCA-II-07'!A14</f>
        <v>0</v>
      </c>
      <c r="B16" s="662">
        <f>'CPCA-II-07'!B14</f>
        <v>0</v>
      </c>
      <c r="C16" s="662">
        <f>'CPCA-II-07'!C14</f>
        <v>0</v>
      </c>
      <c r="D16" s="662">
        <f t="shared" si="1"/>
        <v>0</v>
      </c>
      <c r="E16" s="662">
        <f>'CPCA-II-07'!E14</f>
        <v>0</v>
      </c>
      <c r="F16" s="662">
        <f>'CPCA-II-07'!F14</f>
        <v>0</v>
      </c>
      <c r="G16" s="662">
        <f t="shared" si="2"/>
        <v>0</v>
      </c>
    </row>
    <row r="17" spans="1:8" s="488" customFormat="1" ht="12.75" x14ac:dyDescent="0.2">
      <c r="A17" s="573"/>
      <c r="B17" s="662"/>
      <c r="C17" s="662"/>
      <c r="D17" s="662">
        <f t="shared" si="1"/>
        <v>0</v>
      </c>
      <c r="E17" s="662"/>
      <c r="F17" s="662"/>
      <c r="G17" s="662">
        <f t="shared" si="2"/>
        <v>0</v>
      </c>
    </row>
    <row r="18" spans="1:8" s="488" customFormat="1" ht="12.75" x14ac:dyDescent="0.2">
      <c r="A18" s="573"/>
      <c r="B18" s="662"/>
      <c r="C18" s="662"/>
      <c r="D18" s="662">
        <f t="shared" si="1"/>
        <v>0</v>
      </c>
      <c r="E18" s="662"/>
      <c r="F18" s="662"/>
      <c r="G18" s="662">
        <f t="shared" si="2"/>
        <v>0</v>
      </c>
    </row>
    <row r="19" spans="1:8" s="488" customFormat="1" ht="12.75" x14ac:dyDescent="0.2">
      <c r="A19" s="573"/>
      <c r="B19" s="662"/>
      <c r="C19" s="662"/>
      <c r="D19" s="662"/>
      <c r="E19" s="662"/>
      <c r="F19" s="662"/>
      <c r="G19" s="662"/>
    </row>
    <row r="20" spans="1:8" s="488" customFormat="1" ht="12.75" x14ac:dyDescent="0.2">
      <c r="A20" s="581" t="s">
        <v>641</v>
      </c>
      <c r="B20" s="662"/>
      <c r="C20" s="662"/>
      <c r="D20" s="662"/>
      <c r="E20" s="662"/>
      <c r="F20" s="662"/>
      <c r="G20" s="662"/>
    </row>
    <row r="21" spans="1:8" s="488" customFormat="1" ht="12.75" x14ac:dyDescent="0.2">
      <c r="A21" s="581" t="s">
        <v>642</v>
      </c>
      <c r="B21" s="662">
        <f t="shared" ref="B21:G21" si="3">SUM(B22:B29)</f>
        <v>0</v>
      </c>
      <c r="C21" s="662">
        <f t="shared" si="3"/>
        <v>0</v>
      </c>
      <c r="D21" s="662">
        <f t="shared" si="3"/>
        <v>0</v>
      </c>
      <c r="E21" s="662">
        <f t="shared" si="3"/>
        <v>0</v>
      </c>
      <c r="F21" s="662">
        <f t="shared" si="3"/>
        <v>0</v>
      </c>
      <c r="G21" s="662">
        <f t="shared" si="3"/>
        <v>0</v>
      </c>
    </row>
    <row r="22" spans="1:8" s="488" customFormat="1" ht="12.75" x14ac:dyDescent="0.2">
      <c r="A22" s="573" t="s">
        <v>633</v>
      </c>
      <c r="B22" s="662"/>
      <c r="C22" s="662"/>
      <c r="D22" s="662">
        <f t="shared" ref="D22:D29" si="4">B22+C22</f>
        <v>0</v>
      </c>
      <c r="E22" s="662"/>
      <c r="F22" s="662"/>
      <c r="G22" s="662">
        <f>+D22-E22</f>
        <v>0</v>
      </c>
    </row>
    <row r="23" spans="1:8" s="488" customFormat="1" ht="12.75" x14ac:dyDescent="0.2">
      <c r="A23" s="573" t="s">
        <v>634</v>
      </c>
      <c r="B23" s="662"/>
      <c r="C23" s="662"/>
      <c r="D23" s="662">
        <f t="shared" si="4"/>
        <v>0</v>
      </c>
      <c r="E23" s="662"/>
      <c r="F23" s="662"/>
      <c r="G23" s="662">
        <f t="shared" ref="G23:G29" si="5">+D23-E23</f>
        <v>0</v>
      </c>
    </row>
    <row r="24" spans="1:8" s="488" customFormat="1" ht="12.75" x14ac:dyDescent="0.2">
      <c r="A24" s="573" t="s">
        <v>635</v>
      </c>
      <c r="B24" s="662"/>
      <c r="C24" s="662"/>
      <c r="D24" s="662">
        <f t="shared" si="4"/>
        <v>0</v>
      </c>
      <c r="E24" s="662"/>
      <c r="F24" s="662"/>
      <c r="G24" s="662">
        <f t="shared" si="5"/>
        <v>0</v>
      </c>
    </row>
    <row r="25" spans="1:8" s="488" customFormat="1" ht="12.75" x14ac:dyDescent="0.2">
      <c r="A25" s="573" t="s">
        <v>636</v>
      </c>
      <c r="B25" s="662"/>
      <c r="C25" s="662"/>
      <c r="D25" s="662">
        <f t="shared" si="4"/>
        <v>0</v>
      </c>
      <c r="E25" s="662"/>
      <c r="F25" s="662"/>
      <c r="G25" s="662">
        <f t="shared" si="5"/>
        <v>0</v>
      </c>
    </row>
    <row r="26" spans="1:8" s="488" customFormat="1" ht="12.75" x14ac:dyDescent="0.2">
      <c r="A26" s="573" t="s">
        <v>637</v>
      </c>
      <c r="B26" s="662"/>
      <c r="C26" s="662"/>
      <c r="D26" s="662">
        <f t="shared" si="4"/>
        <v>0</v>
      </c>
      <c r="E26" s="662"/>
      <c r="F26" s="662"/>
      <c r="G26" s="662">
        <f t="shared" si="5"/>
        <v>0</v>
      </c>
    </row>
    <row r="27" spans="1:8" s="488" customFormat="1" ht="12.75" x14ac:dyDescent="0.2">
      <c r="A27" s="573" t="s">
        <v>638</v>
      </c>
      <c r="B27" s="662"/>
      <c r="C27" s="662"/>
      <c r="D27" s="662">
        <f t="shared" si="4"/>
        <v>0</v>
      </c>
      <c r="E27" s="662"/>
      <c r="F27" s="662"/>
      <c r="G27" s="662">
        <f t="shared" si="5"/>
        <v>0</v>
      </c>
    </row>
    <row r="28" spans="1:8" s="488" customFormat="1" ht="12.75" x14ac:dyDescent="0.2">
      <c r="A28" s="573" t="s">
        <v>639</v>
      </c>
      <c r="B28" s="662"/>
      <c r="C28" s="662"/>
      <c r="D28" s="662">
        <f t="shared" si="4"/>
        <v>0</v>
      </c>
      <c r="E28" s="662"/>
      <c r="F28" s="662"/>
      <c r="G28" s="662">
        <f t="shared" si="5"/>
        <v>0</v>
      </c>
    </row>
    <row r="29" spans="1:8" s="488" customFormat="1" ht="12.75" x14ac:dyDescent="0.2">
      <c r="A29" s="573" t="s">
        <v>640</v>
      </c>
      <c r="B29" s="662"/>
      <c r="C29" s="662"/>
      <c r="D29" s="662">
        <f t="shared" si="4"/>
        <v>0</v>
      </c>
      <c r="E29" s="662"/>
      <c r="F29" s="662"/>
      <c r="G29" s="662">
        <f t="shared" si="5"/>
        <v>0</v>
      </c>
    </row>
    <row r="30" spans="1:8" s="488" customFormat="1" ht="12.75" x14ac:dyDescent="0.2">
      <c r="A30" s="661"/>
      <c r="B30" s="662"/>
      <c r="C30" s="662"/>
      <c r="D30" s="662"/>
      <c r="E30" s="662"/>
      <c r="F30" s="662"/>
      <c r="G30" s="662"/>
    </row>
    <row r="31" spans="1:8" s="488" customFormat="1" ht="12.75" x14ac:dyDescent="0.2">
      <c r="A31" s="572" t="s">
        <v>609</v>
      </c>
      <c r="B31" s="662">
        <f t="shared" ref="B31:G31" si="6">+B10+B21</f>
        <v>32253060.079999998</v>
      </c>
      <c r="C31" s="662">
        <f t="shared" si="6"/>
        <v>4996155.4000000004</v>
      </c>
      <c r="D31" s="662">
        <f t="shared" si="6"/>
        <v>37249215.479999997</v>
      </c>
      <c r="E31" s="662">
        <f t="shared" si="6"/>
        <v>34881677.560000002</v>
      </c>
      <c r="F31" s="662">
        <f t="shared" si="6"/>
        <v>33580086.640000001</v>
      </c>
      <c r="G31" s="662">
        <f t="shared" si="6"/>
        <v>2367537.9199999981</v>
      </c>
      <c r="H31" s="686" t="str">
        <f>IF((B31-'CPCA-II-07'!B32)&gt;0.9,"ERROR!!!!! EL MONTO NO COINCIDE CON LO REPORTADO EN EL FORMATO ETCA-II-07 EN EL TOTAL DEL GASTO","")</f>
        <v/>
      </c>
    </row>
    <row r="32" spans="1:8" ht="15.75" thickBot="1" x14ac:dyDescent="0.3">
      <c r="A32" s="645"/>
      <c r="B32" s="647"/>
      <c r="C32" s="647"/>
      <c r="D32" s="647"/>
      <c r="E32" s="647"/>
      <c r="F32" s="647"/>
      <c r="G32" s="647"/>
      <c r="H32" s="482" t="str">
        <f>IF((C31-'CPCA-II-07'!C32)&gt;0.9,"ERROR!!!!! EL MONTO NO COINCIDE CON LO REPORTADO EN EL FORMATO ETCA-II-07 EN EL TOTAL DEL GASTO","")</f>
        <v/>
      </c>
    </row>
    <row r="33" spans="8:8" x14ac:dyDescent="0.25">
      <c r="H33" s="482" t="str">
        <f>IF((D31-'CPCA-II-07'!D32)&gt;0.9,"ERROR!!!!! EL MONTO NO COINCIDE CON LO REPORTADO EN EL FORMATO ETCA-II-07 EN EL TOTAL DEL GASTO","")</f>
        <v/>
      </c>
    </row>
    <row r="34" spans="8:8" x14ac:dyDescent="0.25">
      <c r="H34" s="482" t="str">
        <f>IF((D31-'CPCA-II-07'!D32)&gt;0.9,"ERROR!!!!! EL MONTO NO COINCIDE CON LO REPORTADO EN EL FORMATO ETCA-II-07 EN EL TOTAL DEL GASTO","")</f>
        <v/>
      </c>
    </row>
    <row r="35" spans="8:8" x14ac:dyDescent="0.25">
      <c r="H35" s="482" t="str">
        <f>IF((F31-'CPCA-II-07'!F32)&gt;0.9,"ERROR!!!!! EL MONTO NO COINCIDE CON LO REPORTADO EN EL FORMATO ETCA-II-07 EN EL TOTAL DEL GASTO","")</f>
        <v/>
      </c>
    </row>
    <row r="36" spans="8:8" x14ac:dyDescent="0.25">
      <c r="H36" s="482" t="str">
        <f>IF((G31-'CPCA-II-07'!G32)&gt;0.9,"ERROR!!!!! EL MONTO NO COINCIDE CON LO REPORTADO EN EL FORMATO ETCA-II-07 EN EL TOTAL DEL GASTO","")</f>
        <v/>
      </c>
    </row>
  </sheetData>
  <mergeCells count="9">
    <mergeCell ref="A7:A8"/>
    <mergeCell ref="B7:F7"/>
    <mergeCell ref="G7:G8"/>
    <mergeCell ref="A1:G1"/>
    <mergeCell ref="A3:G3"/>
    <mergeCell ref="A4:G4"/>
    <mergeCell ref="A5:G5"/>
    <mergeCell ref="A6:G6"/>
    <mergeCell ref="A2:G2"/>
  </mergeCells>
  <pageMargins left="0.70866141732283472" right="0.70866141732283472" top="0.35433070866141736" bottom="0.35433070866141736" header="0.31496062992125984" footer="0.31496062992125984"/>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view="pageBreakPreview" zoomScaleNormal="100" zoomScaleSheetLayoutView="100" workbookViewId="0">
      <selection activeCell="G15" sqref="G15"/>
    </sheetView>
  </sheetViews>
  <sheetFormatPr baseColWidth="10" defaultColWidth="11.28515625" defaultRowHeight="16.5" x14ac:dyDescent="0.25"/>
  <cols>
    <col min="1" max="1" width="39.85546875" style="264" customWidth="1"/>
    <col min="2" max="7" width="13.7109375" style="264" customWidth="1"/>
    <col min="8" max="16384" width="11.28515625" style="264"/>
  </cols>
  <sheetData>
    <row r="1" spans="1:8" x14ac:dyDescent="0.25">
      <c r="A1" s="1237" t="s">
        <v>1028</v>
      </c>
      <c r="B1" s="1237"/>
      <c r="C1" s="1237"/>
      <c r="D1" s="1237"/>
      <c r="E1" s="1237"/>
      <c r="F1" s="1237"/>
      <c r="G1" s="1237"/>
    </row>
    <row r="2" spans="1:8" s="266" customFormat="1" x14ac:dyDescent="0.25">
      <c r="A2" s="1237" t="s">
        <v>465</v>
      </c>
      <c r="B2" s="1237"/>
      <c r="C2" s="1237"/>
      <c r="D2" s="1237"/>
      <c r="E2" s="1237"/>
      <c r="F2" s="1237"/>
      <c r="G2" s="1237"/>
    </row>
    <row r="3" spans="1:8" s="266" customFormat="1" x14ac:dyDescent="0.25">
      <c r="A3" s="1463" t="s">
        <v>643</v>
      </c>
      <c r="B3" s="1463"/>
      <c r="C3" s="1463"/>
      <c r="D3" s="1463"/>
      <c r="E3" s="1463"/>
      <c r="F3" s="1463"/>
      <c r="G3" s="1463"/>
    </row>
    <row r="4" spans="1:8" s="266" customFormat="1" x14ac:dyDescent="0.25">
      <c r="A4" s="1236"/>
      <c r="B4" s="1236"/>
      <c r="C4" s="1236"/>
      <c r="D4" s="1236"/>
      <c r="E4" s="1236"/>
      <c r="F4" s="1236"/>
      <c r="G4" s="1236"/>
    </row>
    <row r="5" spans="1:8" s="266" customFormat="1" x14ac:dyDescent="0.25">
      <c r="A5" s="1238" t="str">
        <f>'CPCA-I-03'!A4:D4</f>
        <v>Del 01 de ENERO al 31 de DICIEMBRE de 2024</v>
      </c>
      <c r="B5" s="1238"/>
      <c r="C5" s="1238"/>
      <c r="D5" s="1238"/>
      <c r="E5" s="1238"/>
      <c r="F5" s="1238"/>
      <c r="G5" s="1238"/>
    </row>
    <row r="6" spans="1:8" s="266" customFormat="1" ht="17.25" thickBot="1" x14ac:dyDescent="0.3">
      <c r="A6" s="1415" t="s">
        <v>644</v>
      </c>
      <c r="B6" s="1415"/>
      <c r="C6" s="1415"/>
      <c r="D6" s="1415"/>
      <c r="E6" s="1415"/>
      <c r="F6" s="38"/>
      <c r="G6" s="407"/>
    </row>
    <row r="7" spans="1:8" s="277" customFormat="1" ht="53.25" customHeight="1" x14ac:dyDescent="0.25">
      <c r="A7" s="1461" t="s">
        <v>643</v>
      </c>
      <c r="B7" s="284" t="s">
        <v>469</v>
      </c>
      <c r="C7" s="284" t="s">
        <v>397</v>
      </c>
      <c r="D7" s="284" t="s">
        <v>470</v>
      </c>
      <c r="E7" s="284" t="s">
        <v>471</v>
      </c>
      <c r="F7" s="284" t="s">
        <v>472</v>
      </c>
      <c r="G7" s="285" t="s">
        <v>473</v>
      </c>
    </row>
    <row r="8" spans="1:8" s="283" customFormat="1" ht="15.75" customHeight="1" thickBot="1" x14ac:dyDescent="0.3">
      <c r="A8" s="1462"/>
      <c r="B8" s="278" t="s">
        <v>377</v>
      </c>
      <c r="C8" s="278" t="s">
        <v>378</v>
      </c>
      <c r="D8" s="278" t="s">
        <v>474</v>
      </c>
      <c r="E8" s="278" t="s">
        <v>380</v>
      </c>
      <c r="F8" s="278" t="s">
        <v>381</v>
      </c>
      <c r="G8" s="279" t="s">
        <v>475</v>
      </c>
    </row>
    <row r="9" spans="1:8" ht="30" customHeight="1" x14ac:dyDescent="0.25">
      <c r="A9" s="487"/>
      <c r="B9" s="287"/>
      <c r="C9" s="287"/>
      <c r="D9" s="287"/>
      <c r="E9" s="287"/>
      <c r="F9" s="287"/>
      <c r="G9" s="288"/>
    </row>
    <row r="10" spans="1:8" ht="30" customHeight="1" x14ac:dyDescent="0.25">
      <c r="A10" s="273" t="s">
        <v>645</v>
      </c>
      <c r="B10" s="428">
        <f>'CPCA-II-06'!B15</f>
        <v>32253060.079999998</v>
      </c>
      <c r="C10" s="428">
        <f>'CPCA-II-06'!C15</f>
        <v>4996155.3999999994</v>
      </c>
      <c r="D10" s="428">
        <f>'CPCA-II-06'!D15</f>
        <v>37249215.479999997</v>
      </c>
      <c r="E10" s="428">
        <f>'CPCA-II-06'!E15</f>
        <v>34881677.560000002</v>
      </c>
      <c r="F10" s="428">
        <f>'CPCA-II-06'!F15</f>
        <v>33580086.640000001</v>
      </c>
      <c r="G10" s="430">
        <f>D10-E10</f>
        <v>2367537.9199999943</v>
      </c>
    </row>
    <row r="11" spans="1:8" ht="30" customHeight="1" x14ac:dyDescent="0.25">
      <c r="A11" s="273" t="s">
        <v>646</v>
      </c>
      <c r="B11" s="428"/>
      <c r="C11" s="428"/>
      <c r="D11" s="429">
        <f>B11+C11</f>
        <v>0</v>
      </c>
      <c r="E11" s="428"/>
      <c r="F11" s="428"/>
      <c r="G11" s="430">
        <f>D11-E11</f>
        <v>0</v>
      </c>
    </row>
    <row r="12" spans="1:8" ht="30" customHeight="1" x14ac:dyDescent="0.25">
      <c r="A12" s="273" t="s">
        <v>647</v>
      </c>
      <c r="B12" s="428"/>
      <c r="C12" s="428"/>
      <c r="D12" s="429">
        <f>B12+C12</f>
        <v>0</v>
      </c>
      <c r="E12" s="428"/>
      <c r="F12" s="428"/>
      <c r="G12" s="430">
        <f>D12-E12</f>
        <v>0</v>
      </c>
    </row>
    <row r="13" spans="1:8" ht="30" customHeight="1" x14ac:dyDescent="0.25">
      <c r="A13" s="273" t="s">
        <v>648</v>
      </c>
      <c r="B13" s="428"/>
      <c r="C13" s="428"/>
      <c r="D13" s="429">
        <f>B13+C13</f>
        <v>0</v>
      </c>
      <c r="E13" s="428"/>
      <c r="F13" s="428"/>
      <c r="G13" s="430">
        <f>D13-E13</f>
        <v>0</v>
      </c>
    </row>
    <row r="14" spans="1:8" ht="30" customHeight="1" thickBot="1" x14ac:dyDescent="0.3">
      <c r="A14" s="486"/>
      <c r="B14" s="436"/>
      <c r="C14" s="436"/>
      <c r="D14" s="436"/>
      <c r="E14" s="436"/>
      <c r="F14" s="436"/>
      <c r="G14" s="437"/>
    </row>
    <row r="15" spans="1:8" s="277" customFormat="1" ht="30" customHeight="1" thickBot="1" x14ac:dyDescent="0.3">
      <c r="A15" s="751" t="s">
        <v>525</v>
      </c>
      <c r="B15" s="438">
        <f>SUM(B10:B13)</f>
        <v>32253060.079999998</v>
      </c>
      <c r="C15" s="438">
        <f>SUM(C10:C13)</f>
        <v>4996155.3999999994</v>
      </c>
      <c r="D15" s="438">
        <f>B15+C15</f>
        <v>37249215.479999997</v>
      </c>
      <c r="E15" s="438">
        <f>SUM(E10:E13)</f>
        <v>34881677.560000002</v>
      </c>
      <c r="F15" s="438">
        <f>SUM(F10:F13)</f>
        <v>33580086.640000001</v>
      </c>
      <c r="G15" s="439">
        <f>D15-E15</f>
        <v>2367537.9199999943</v>
      </c>
      <c r="H15" s="482" t="str">
        <f>IF((B15-'CPCA II-04'!B81)&gt;0.9,"ERROR!!!!! EL MONTO NO COINCIDE CON LO REPORTADO EN EL FORMATO ETCA-II-04 EN EL TOTAL APROBADO ANUAL DEL ANALÍTICO DE EGRESOS","")</f>
        <v/>
      </c>
    </row>
    <row r="16" spans="1:8" s="277" customFormat="1" ht="30" customHeight="1" x14ac:dyDescent="0.25">
      <c r="A16" s="464"/>
      <c r="B16" s="465"/>
      <c r="C16" s="465"/>
      <c r="D16" s="465"/>
      <c r="E16" s="465"/>
      <c r="F16" s="465"/>
      <c r="G16" s="465"/>
      <c r="H16" s="482" t="str">
        <f>IF((C15-'CPCA II-04'!C81)&gt;0.9,"ERROR!!!!! EL MONTO NO COINCIDE CON LO REPORTADO EN EL FORMATO ETCA-II-04 EN EL TOTAL AMPLIACIONES/REDUCCIONES ANUAL DEL ANALÍTICO DE EGRESOS","")</f>
        <v/>
      </c>
    </row>
    <row r="17" spans="1:8" s="277" customFormat="1" ht="30" customHeight="1" x14ac:dyDescent="0.25">
      <c r="A17" s="464"/>
      <c r="B17" s="465"/>
      <c r="C17" s="465"/>
      <c r="D17" s="465"/>
      <c r="E17" s="465"/>
      <c r="F17" s="465"/>
      <c r="G17" s="465"/>
      <c r="H17" s="482" t="str">
        <f>IF((D15-'CPCA II-04'!D81)&gt;0.9,"ERROR!!!!! EL MONTO NO COINCIDE CON LO REPORTADO EN EL FORMATO ETCA-II-04 EN EL TOTAL MODIFICADO ANUAL DEL ANALÍTICO DE EGRESOS","")</f>
        <v/>
      </c>
    </row>
    <row r="18" spans="1:8" s="277" customFormat="1" ht="18" customHeight="1" x14ac:dyDescent="0.25">
      <c r="A18" s="464"/>
      <c r="B18" s="465"/>
      <c r="C18" s="465"/>
      <c r="D18" s="465"/>
      <c r="E18" s="465"/>
      <c r="F18" s="465"/>
      <c r="G18" s="465"/>
      <c r="H18" s="482" t="str">
        <f>IF((E15-'CPCA II-04'!E81)&gt;0.9,"ERROR!!!!! EL MONTO NO COINCIDE CON LO REPORTADO EN EL FORMATO ETCA-II-04 EN EL TOTAL DEVENGADO ANUAL DEL ANALÍTICO DE EGRESOS","")</f>
        <v/>
      </c>
    </row>
    <row r="19" spans="1:8" s="277" customFormat="1" ht="18" customHeight="1" x14ac:dyDescent="0.25">
      <c r="A19" s="464"/>
      <c r="B19" s="465"/>
      <c r="C19" s="465"/>
      <c r="D19" s="465"/>
      <c r="E19" s="465"/>
      <c r="F19" s="465"/>
      <c r="G19" s="465"/>
      <c r="H19" s="482" t="str">
        <f>IF((F15-'CPCA II-04'!F81)&gt;0.9,"ERROR!!!!! EL MONTO NO COINCIDE CON LO REPORTADO EN EL FORMATO ETCA-II-04 EN EL TOTAL PAGADO ANUAL DEL ANALÍTICO DE EGRESOS","")</f>
        <v/>
      </c>
    </row>
    <row r="20" spans="1:8" x14ac:dyDescent="0.25">
      <c r="H20" s="482" t="str">
        <f>IF((G15-'CPCA II-04'!G81)&gt;0.9,"ERROR!!!!! EL MONTO NO COINCIDE CON LO REPORTADO EN EL FORMATO ETCA-II-04 EN EL TOTAL SUBEJERCICIO ANUAL DEL ANALÍTICO DE EGRESOS","")</f>
        <v/>
      </c>
    </row>
    <row r="21" spans="1:8" x14ac:dyDescent="0.25">
      <c r="H21" s="482" t="str">
        <f>IF((B21-'CPCA II-04'!B87)&gt;0.9,"ERROR!!!!! EL MONTO NO COINCIDE CON LO REPORTADO EN EL FORMATO ETCA-II-04 EN EL TOTAL APROBADO ANUAL DEL ANALÍTICO DE EGRESOS","")</f>
        <v/>
      </c>
    </row>
    <row r="22" spans="1:8" x14ac:dyDescent="0.25">
      <c r="H22" s="482" t="str">
        <f>IF(G15&lt;&gt;'CPCA II-04'!G81,"ERROR!!!!! EL MONTO NO COINCIDE CON LO REPORTADO EN EL FORMATO ETCA-II-04 EN EL TOTAL SUBEJERCICIO PRESENTADO EN EL ANALÍTICO DE EGRESOS","")</f>
        <v>ERROR!!!!! EL MONTO NO COINCIDE CON LO REPORTADO EN EL FORMATO ETCA-II-04 EN EL TOTAL SUBEJERCICIO PRESENTADO EN EL ANALÍTICO DE EGRESOS</v>
      </c>
    </row>
  </sheetData>
  <sheetProtection formatColumns="0" formatRows="0" insertHyperlinks="0"/>
  <mergeCells count="7">
    <mergeCell ref="A7:A8"/>
    <mergeCell ref="A5:G5"/>
    <mergeCell ref="A1:G1"/>
    <mergeCell ref="A2:G2"/>
    <mergeCell ref="A3:G3"/>
    <mergeCell ref="A4:G4"/>
    <mergeCell ref="A6:E6"/>
  </mergeCells>
  <printOptions horizontalCentered="1"/>
  <pageMargins left="0.70866141732283472" right="0.70866141732283472" top="0.74803149606299213" bottom="0.74803149606299213" header="0.31496062992125984" footer="0.31496062992125984"/>
  <pageSetup scale="9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view="pageBreakPreview" zoomScaleNormal="100" zoomScaleSheetLayoutView="100" workbookViewId="0">
      <selection activeCell="E15" sqref="E15"/>
    </sheetView>
  </sheetViews>
  <sheetFormatPr baseColWidth="10" defaultColWidth="11.28515625" defaultRowHeight="16.5" x14ac:dyDescent="0.25"/>
  <cols>
    <col min="1" max="1" width="39.85546875" style="264" customWidth="1"/>
    <col min="2" max="7" width="13.7109375" style="264" customWidth="1"/>
    <col min="8" max="16384" width="11.28515625" style="264"/>
  </cols>
  <sheetData>
    <row r="1" spans="1:7" x14ac:dyDescent="0.25">
      <c r="A1" s="1463" t="s">
        <v>1028</v>
      </c>
      <c r="B1" s="1463"/>
      <c r="C1" s="1463"/>
      <c r="D1" s="1463"/>
      <c r="E1" s="1463"/>
      <c r="F1" s="1463"/>
      <c r="G1" s="1463"/>
    </row>
    <row r="2" spans="1:7" x14ac:dyDescent="0.25">
      <c r="A2" s="1463" t="s">
        <v>465</v>
      </c>
      <c r="B2" s="1463"/>
      <c r="C2" s="1463"/>
      <c r="D2" s="1463"/>
      <c r="E2" s="1463"/>
      <c r="F2" s="1463"/>
      <c r="G2" s="1463"/>
    </row>
    <row r="3" spans="1:7" x14ac:dyDescent="0.25">
      <c r="A3" s="1463" t="s">
        <v>649</v>
      </c>
      <c r="B3" s="1463"/>
      <c r="C3" s="1463"/>
      <c r="D3" s="1463"/>
      <c r="E3" s="1463"/>
      <c r="F3" s="1463"/>
      <c r="G3" s="1463"/>
    </row>
    <row r="4" spans="1:7" x14ac:dyDescent="0.25">
      <c r="A4" s="1236"/>
      <c r="B4" s="1236"/>
      <c r="C4" s="1236"/>
      <c r="D4" s="1236"/>
      <c r="E4" s="1236"/>
      <c r="F4" s="1236"/>
      <c r="G4" s="1236"/>
    </row>
    <row r="5" spans="1:7" x14ac:dyDescent="0.25">
      <c r="A5" s="1238" t="str">
        <f>'CPCA-I-03'!A4:D4</f>
        <v>Del 01 de ENERO al 31 de DICIEMBRE de 2024</v>
      </c>
      <c r="B5" s="1238"/>
      <c r="C5" s="1238"/>
      <c r="D5" s="1238"/>
      <c r="E5" s="1238"/>
      <c r="F5" s="1238"/>
      <c r="G5" s="1238"/>
    </row>
    <row r="6" spans="1:7" ht="17.25" thickBot="1" x14ac:dyDescent="0.3">
      <c r="A6" s="1415" t="s">
        <v>650</v>
      </c>
      <c r="B6" s="1415"/>
      <c r="C6" s="1415"/>
      <c r="D6" s="1415"/>
      <c r="E6" s="1415"/>
      <c r="F6" s="38"/>
      <c r="G6" s="407"/>
    </row>
    <row r="7" spans="1:7" s="270" customFormat="1" ht="40.5" x14ac:dyDescent="0.25">
      <c r="A7" s="1464" t="s">
        <v>247</v>
      </c>
      <c r="B7" s="291" t="s">
        <v>469</v>
      </c>
      <c r="C7" s="291" t="s">
        <v>397</v>
      </c>
      <c r="D7" s="291" t="s">
        <v>470</v>
      </c>
      <c r="E7" s="291" t="s">
        <v>471</v>
      </c>
      <c r="F7" s="291" t="s">
        <v>472</v>
      </c>
      <c r="G7" s="292" t="s">
        <v>473</v>
      </c>
    </row>
    <row r="8" spans="1:7" s="270" customFormat="1" ht="15.75" customHeight="1" thickBot="1" x14ac:dyDescent="0.3">
      <c r="A8" s="1465"/>
      <c r="B8" s="278" t="s">
        <v>377</v>
      </c>
      <c r="C8" s="278" t="s">
        <v>378</v>
      </c>
      <c r="D8" s="278" t="s">
        <v>474</v>
      </c>
      <c r="E8" s="278" t="s">
        <v>380</v>
      </c>
      <c r="F8" s="278" t="s">
        <v>381</v>
      </c>
      <c r="G8" s="279" t="s">
        <v>475</v>
      </c>
    </row>
    <row r="9" spans="1:7" x14ac:dyDescent="0.25">
      <c r="A9" s="286"/>
      <c r="B9" s="289"/>
      <c r="C9" s="289"/>
      <c r="D9" s="290"/>
      <c r="E9" s="289"/>
      <c r="F9" s="289"/>
      <c r="G9" s="293"/>
    </row>
    <row r="10" spans="1:7" ht="25.5" x14ac:dyDescent="0.25">
      <c r="A10" s="294" t="s">
        <v>651</v>
      </c>
      <c r="B10" s="428">
        <f>'CPCA-II-09'!B10</f>
        <v>32253060.079999998</v>
      </c>
      <c r="C10" s="428">
        <f>'CPCA-II-09'!C10</f>
        <v>4996155.3999999994</v>
      </c>
      <c r="D10" s="429">
        <f>IF(A10="","",B10+C10)</f>
        <v>37249215.479999997</v>
      </c>
      <c r="E10" s="428">
        <f>'CPCA-II-09'!E10</f>
        <v>34881677.560000002</v>
      </c>
      <c r="F10" s="428">
        <f>'CPCA-II-09'!F10</f>
        <v>33580086.640000001</v>
      </c>
      <c r="G10" s="430">
        <f>IF(A10="","",D10-E10)</f>
        <v>2367537.9199999943</v>
      </c>
    </row>
    <row r="11" spans="1:7" ht="8.25" customHeight="1" x14ac:dyDescent="0.25">
      <c r="A11" s="294"/>
      <c r="B11" s="428"/>
      <c r="C11" s="428"/>
      <c r="D11" s="429" t="str">
        <f t="shared" ref="D11:D22" si="0">IF(A11="","",B11+C11)</f>
        <v/>
      </c>
      <c r="E11" s="428"/>
      <c r="F11" s="428"/>
      <c r="G11" s="430" t="str">
        <f t="shared" ref="G11:G22" si="1">IF(A11="","",D11-E11)</f>
        <v/>
      </c>
    </row>
    <row r="12" spans="1:7" x14ac:dyDescent="0.25">
      <c r="A12" s="294" t="s">
        <v>652</v>
      </c>
      <c r="B12" s="428"/>
      <c r="C12" s="428"/>
      <c r="D12" s="429">
        <f t="shared" si="0"/>
        <v>0</v>
      </c>
      <c r="E12" s="428"/>
      <c r="F12" s="428"/>
      <c r="G12" s="430">
        <f t="shared" si="1"/>
        <v>0</v>
      </c>
    </row>
    <row r="13" spans="1:7" ht="8.25" customHeight="1" x14ac:dyDescent="0.25">
      <c r="A13" s="294"/>
      <c r="B13" s="428"/>
      <c r="C13" s="428"/>
      <c r="D13" s="429" t="str">
        <f t="shared" si="0"/>
        <v/>
      </c>
      <c r="E13" s="428"/>
      <c r="F13" s="428"/>
      <c r="G13" s="430" t="str">
        <f t="shared" si="1"/>
        <v/>
      </c>
    </row>
    <row r="14" spans="1:7" ht="25.5" x14ac:dyDescent="0.25">
      <c r="A14" s="294" t="s">
        <v>653</v>
      </c>
      <c r="B14" s="428"/>
      <c r="C14" s="428"/>
      <c r="D14" s="429">
        <f t="shared" si="0"/>
        <v>0</v>
      </c>
      <c r="E14" s="428"/>
      <c r="F14" s="428"/>
      <c r="G14" s="430">
        <f t="shared" si="1"/>
        <v>0</v>
      </c>
    </row>
    <row r="15" spans="1:7" ht="8.25" customHeight="1" x14ac:dyDescent="0.25">
      <c r="A15" s="294"/>
      <c r="B15" s="428"/>
      <c r="C15" s="428"/>
      <c r="D15" s="429" t="str">
        <f t="shared" si="0"/>
        <v/>
      </c>
      <c r="E15" s="428"/>
      <c r="F15" s="428"/>
      <c r="G15" s="430" t="str">
        <f t="shared" si="1"/>
        <v/>
      </c>
    </row>
    <row r="16" spans="1:7" ht="25.5" x14ac:dyDescent="0.25">
      <c r="A16" s="294" t="s">
        <v>654</v>
      </c>
      <c r="B16" s="428"/>
      <c r="C16" s="428"/>
      <c r="D16" s="429">
        <f t="shared" si="0"/>
        <v>0</v>
      </c>
      <c r="E16" s="428"/>
      <c r="F16" s="428"/>
      <c r="G16" s="430">
        <f t="shared" si="1"/>
        <v>0</v>
      </c>
    </row>
    <row r="17" spans="1:8" ht="8.25" customHeight="1" x14ac:dyDescent="0.25">
      <c r="A17" s="294"/>
      <c r="B17" s="428"/>
      <c r="C17" s="428"/>
      <c r="D17" s="429" t="str">
        <f t="shared" si="0"/>
        <v/>
      </c>
      <c r="E17" s="428"/>
      <c r="F17" s="428"/>
      <c r="G17" s="430" t="str">
        <f t="shared" si="1"/>
        <v/>
      </c>
    </row>
    <row r="18" spans="1:8" ht="25.5" x14ac:dyDescent="0.25">
      <c r="A18" s="294" t="s">
        <v>655</v>
      </c>
      <c r="B18" s="428"/>
      <c r="C18" s="428"/>
      <c r="D18" s="429">
        <f t="shared" si="0"/>
        <v>0</v>
      </c>
      <c r="E18" s="428"/>
      <c r="F18" s="428"/>
      <c r="G18" s="430">
        <f t="shared" si="1"/>
        <v>0</v>
      </c>
    </row>
    <row r="19" spans="1:8" ht="8.25" customHeight="1" x14ac:dyDescent="0.25">
      <c r="A19" s="294"/>
      <c r="B19" s="428"/>
      <c r="C19" s="428"/>
      <c r="D19" s="429" t="str">
        <f t="shared" si="0"/>
        <v/>
      </c>
      <c r="E19" s="428"/>
      <c r="F19" s="428"/>
      <c r="G19" s="430" t="str">
        <f t="shared" si="1"/>
        <v/>
      </c>
    </row>
    <row r="20" spans="1:8" ht="25.5" x14ac:dyDescent="0.25">
      <c r="A20" s="294" t="s">
        <v>656</v>
      </c>
      <c r="B20" s="428"/>
      <c r="C20" s="428"/>
      <c r="D20" s="429">
        <f t="shared" si="0"/>
        <v>0</v>
      </c>
      <c r="E20" s="428"/>
      <c r="F20" s="428"/>
      <c r="G20" s="430">
        <f t="shared" si="1"/>
        <v>0</v>
      </c>
    </row>
    <row r="21" spans="1:8" ht="8.25" customHeight="1" x14ac:dyDescent="0.25">
      <c r="A21" s="294"/>
      <c r="B21" s="428"/>
      <c r="C21" s="428"/>
      <c r="D21" s="429" t="str">
        <f t="shared" si="0"/>
        <v/>
      </c>
      <c r="E21" s="428"/>
      <c r="F21" s="428"/>
      <c r="G21" s="430" t="str">
        <f t="shared" si="1"/>
        <v/>
      </c>
    </row>
    <row r="22" spans="1:8" ht="26.25" thickBot="1" x14ac:dyDescent="0.3">
      <c r="A22" s="294" t="s">
        <v>657</v>
      </c>
      <c r="B22" s="428"/>
      <c r="C22" s="428"/>
      <c r="D22" s="429">
        <f t="shared" si="0"/>
        <v>0</v>
      </c>
      <c r="E22" s="428"/>
      <c r="F22" s="428"/>
      <c r="G22" s="430">
        <f t="shared" si="1"/>
        <v>0</v>
      </c>
    </row>
    <row r="23" spans="1:8" ht="24.95" customHeight="1" thickBot="1" x14ac:dyDescent="0.3">
      <c r="A23" s="282" t="s">
        <v>525</v>
      </c>
      <c r="B23" s="434">
        <f>SUM(B10:B22)</f>
        <v>32253060.079999998</v>
      </c>
      <c r="C23" s="434">
        <f>SUM(C10:C22)</f>
        <v>4996155.3999999994</v>
      </c>
      <c r="D23" s="434">
        <f>IF(A23="","",B23+C23)</f>
        <v>37249215.479999997</v>
      </c>
      <c r="E23" s="434">
        <f>SUM(E10:E22)</f>
        <v>34881677.560000002</v>
      </c>
      <c r="F23" s="434">
        <f>SUM(F10:F22)</f>
        <v>33580086.640000001</v>
      </c>
      <c r="G23" s="435">
        <f>IF(A23="","",D23-E23)</f>
        <v>2367537.9199999943</v>
      </c>
      <c r="H23" s="482" t="str">
        <f>IF((B23-'CPCA II-04'!B81)&gt;0.9,"ERROR!!!!! EL MONTO NO COINCIDE CON LO REPORTADO EN EL FORMATO ETCA-II-04 EN EL TOTAL APROBADO ANUAL DEL ANALÍTICO DE EGRESOS","")</f>
        <v/>
      </c>
    </row>
    <row r="24" spans="1:8" ht="24.95" customHeight="1" x14ac:dyDescent="0.25">
      <c r="A24" s="499"/>
      <c r="B24" s="500"/>
      <c r="C24" s="500"/>
      <c r="D24" s="500"/>
      <c r="E24" s="500"/>
      <c r="F24" s="500"/>
      <c r="G24" s="500"/>
      <c r="H24" s="482" t="str">
        <f>IF((C23-'CPCA II-04'!C81)&gt;0.9,"ERROR!!!!! EL MONTO NO COINCIDE CON LO REPORTADO EN EL FORMATO ETCA-II-04 EN EL TOTAL APROBADO ANUAL DEL ANALÍTICO DE EGRESOS","")</f>
        <v/>
      </c>
    </row>
    <row r="25" spans="1:8" ht="24.95" customHeight="1" x14ac:dyDescent="0.25">
      <c r="A25" s="466"/>
      <c r="B25" s="465"/>
      <c r="C25" s="465"/>
      <c r="D25" s="465"/>
      <c r="E25" s="465"/>
      <c r="F25" s="465"/>
      <c r="G25" s="465"/>
      <c r="H25" s="482" t="str">
        <f>IF((D23-'CPCA II-04'!D81)&gt;0.9,"ERROR!!!!! EL MONTO NO COINCIDE CON LO REPORTADO EN EL FORMATO ETCA-II-04 EN EL TOTAL APROBADO ANUAL DEL ANALÍTICO DE EGRESOS","")</f>
        <v/>
      </c>
    </row>
    <row r="26" spans="1:8" ht="24.95" customHeight="1" x14ac:dyDescent="0.25">
      <c r="A26" s="501"/>
      <c r="B26" s="468"/>
      <c r="C26" s="468"/>
      <c r="D26" s="469"/>
      <c r="E26" s="468"/>
      <c r="F26" s="468"/>
      <c r="G26" s="469"/>
      <c r="H26" s="482" t="str">
        <f>IF((E23-'CPCA II-04'!E81)&gt;0.9,"ERROR!!!!! EL MONTO NO COINCIDE CON LO REPORTADO EN EL FORMATO ETCA-II-04 EN EL TOTAL APROBADO ANUAL DEL ANALÍTICO DE EGRESOS","")</f>
        <v/>
      </c>
    </row>
    <row r="27" spans="1:8" ht="24.95" customHeight="1" x14ac:dyDescent="0.25">
      <c r="A27" s="501"/>
      <c r="B27" s="468"/>
      <c r="C27" s="468"/>
      <c r="D27" s="469"/>
      <c r="E27" s="468"/>
      <c r="F27" s="468"/>
      <c r="G27" s="469"/>
      <c r="H27" s="482" t="str">
        <f>IF((F23-'CPCA II-04'!F81)&gt;0.9,"ERROR!!!!! EL MONTO NO COINCIDE CON LO REPORTADO EN EL FORMATO ETCA-II-04 EN EL TOTAL APROBADO ANUAL DEL ANALÍTICO DE EGRESOS","")</f>
        <v/>
      </c>
    </row>
    <row r="28" spans="1:8" ht="25.5" customHeight="1" x14ac:dyDescent="0.25">
      <c r="A28" s="466"/>
      <c r="B28" s="465"/>
      <c r="C28" s="465"/>
      <c r="D28" s="465"/>
      <c r="E28" s="465"/>
      <c r="F28" s="465"/>
      <c r="G28" s="465"/>
      <c r="H28" s="482" t="str">
        <f>IF((G23-'CPCA II-04'!G81)&gt;0.9,"ERROR!!!!! EL MONTO NO COINCIDE CON LO REPORTADO EN EL FORMATO ETCA-II-04 EN EL TOTAL APROBADO ANUAL DEL ANALÍTICO DE EGRESOS","")</f>
        <v/>
      </c>
    </row>
    <row r="30" spans="1:8" x14ac:dyDescent="0.25">
      <c r="F30" s="277"/>
    </row>
    <row r="31" spans="1:8" x14ac:dyDescent="0.25">
      <c r="F31" s="277"/>
    </row>
  </sheetData>
  <sheetProtection formatColumns="0" formatRows="0" insertHyperlinks="0"/>
  <mergeCells count="7">
    <mergeCell ref="A7:A8"/>
    <mergeCell ref="A1:G1"/>
    <mergeCell ref="A2:G2"/>
    <mergeCell ref="A3:G3"/>
    <mergeCell ref="A4:G4"/>
    <mergeCell ref="A5:G5"/>
    <mergeCell ref="A6:E6"/>
  </mergeCells>
  <printOptions horizontalCentered="1"/>
  <pageMargins left="0.70866141732283472" right="0.70866141732283472" top="0.74803149606299213" bottom="0.74803149606299213" header="0.31496062992125984" footer="0.31496062992125984"/>
  <pageSetup scale="9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zoomScale="90" zoomScaleNormal="100" zoomScaleSheetLayoutView="90" workbookViewId="0">
      <selection activeCell="C12" sqref="C12"/>
    </sheetView>
  </sheetViews>
  <sheetFormatPr baseColWidth="10" defaultRowHeight="15" x14ac:dyDescent="0.25"/>
  <cols>
    <col min="1" max="1" width="35.7109375" customWidth="1"/>
    <col min="2" max="5" width="11.28515625"/>
    <col min="6" max="6" width="11.85546875" customWidth="1"/>
  </cols>
  <sheetData>
    <row r="1" spans="1:7" ht="16.5" x14ac:dyDescent="0.25">
      <c r="A1" s="1463" t="s">
        <v>1028</v>
      </c>
      <c r="B1" s="1463"/>
      <c r="C1" s="1463"/>
      <c r="D1" s="1463"/>
      <c r="E1" s="1463"/>
      <c r="F1" s="1463"/>
      <c r="G1" s="1463"/>
    </row>
    <row r="2" spans="1:7" ht="16.5" x14ac:dyDescent="0.25">
      <c r="A2" s="1463" t="s">
        <v>465</v>
      </c>
      <c r="B2" s="1463"/>
      <c r="C2" s="1463"/>
      <c r="D2" s="1463"/>
      <c r="E2" s="1463"/>
      <c r="F2" s="1463"/>
      <c r="G2" s="1463"/>
    </row>
    <row r="3" spans="1:7" ht="16.5" x14ac:dyDescent="0.25">
      <c r="A3" s="1463" t="s">
        <v>658</v>
      </c>
      <c r="B3" s="1463"/>
      <c r="C3" s="1463"/>
      <c r="D3" s="1463"/>
      <c r="E3" s="1463"/>
      <c r="F3" s="1463"/>
      <c r="G3" s="1463"/>
    </row>
    <row r="4" spans="1:7" ht="15.75" x14ac:dyDescent="0.25">
      <c r="A4" s="1236"/>
      <c r="B4" s="1236"/>
      <c r="C4" s="1236"/>
      <c r="D4" s="1236"/>
      <c r="E4" s="1236"/>
      <c r="F4" s="1236"/>
      <c r="G4" s="1236"/>
    </row>
    <row r="5" spans="1:7" ht="16.5" x14ac:dyDescent="0.25">
      <c r="A5" s="1238" t="str">
        <f>'CPCA-I-03'!A4:D4</f>
        <v>Del 01 de ENERO al 31 de DICIEMBRE de 2024</v>
      </c>
      <c r="B5" s="1238"/>
      <c r="C5" s="1238"/>
      <c r="D5" s="1238"/>
      <c r="E5" s="1238"/>
      <c r="F5" s="1238"/>
      <c r="G5" s="1238"/>
    </row>
    <row r="6" spans="1:7" ht="17.25" thickBot="1" x14ac:dyDescent="0.3">
      <c r="A6" s="153"/>
      <c r="B6" s="1466"/>
      <c r="C6" s="1466"/>
      <c r="D6" s="1466"/>
      <c r="E6" s="1466"/>
      <c r="F6" s="295"/>
      <c r="G6" s="408"/>
    </row>
    <row r="7" spans="1:7" ht="40.5" x14ac:dyDescent="0.25">
      <c r="A7" s="1464" t="s">
        <v>247</v>
      </c>
      <c r="B7" s="296" t="s">
        <v>469</v>
      </c>
      <c r="C7" s="296" t="s">
        <v>397</v>
      </c>
      <c r="D7" s="296" t="s">
        <v>470</v>
      </c>
      <c r="E7" s="296" t="s">
        <v>471</v>
      </c>
      <c r="F7" s="296" t="s">
        <v>472</v>
      </c>
      <c r="G7" s="297" t="s">
        <v>473</v>
      </c>
    </row>
    <row r="8" spans="1:7" ht="15.75" thickBot="1" x14ac:dyDescent="0.3">
      <c r="A8" s="1465"/>
      <c r="B8" s="298" t="s">
        <v>377</v>
      </c>
      <c r="C8" s="298" t="s">
        <v>378</v>
      </c>
      <c r="D8" s="298" t="s">
        <v>474</v>
      </c>
      <c r="E8" s="298" t="s">
        <v>380</v>
      </c>
      <c r="F8" s="298" t="s">
        <v>381</v>
      </c>
      <c r="G8" s="299" t="s">
        <v>475</v>
      </c>
    </row>
    <row r="9" spans="1:7" ht="16.5" x14ac:dyDescent="0.25">
      <c r="A9" s="300"/>
      <c r="B9" s="301"/>
      <c r="C9" s="301"/>
      <c r="D9" s="301"/>
      <c r="E9" s="301"/>
      <c r="F9" s="301"/>
      <c r="G9" s="302"/>
    </row>
    <row r="10" spans="1:7" x14ac:dyDescent="0.25">
      <c r="A10" s="425" t="s">
        <v>659</v>
      </c>
      <c r="B10" s="426">
        <f>SUM(B11:B18)</f>
        <v>0</v>
      </c>
      <c r="C10" s="426">
        <f>SUM(C11:C18)</f>
        <v>0</v>
      </c>
      <c r="D10" s="426">
        <f>IF(A10="","",B10+C10)</f>
        <v>0</v>
      </c>
      <c r="E10" s="426">
        <f>SUM(E11:E18)</f>
        <v>0</v>
      </c>
      <c r="F10" s="426">
        <f>SUM(F11:F18)</f>
        <v>0</v>
      </c>
      <c r="G10" s="427">
        <f>IF(A10="","",D10-E10)</f>
        <v>0</v>
      </c>
    </row>
    <row r="11" spans="1:7" x14ac:dyDescent="0.25">
      <c r="A11" s="273" t="s">
        <v>660</v>
      </c>
      <c r="B11" s="428"/>
      <c r="C11" s="428"/>
      <c r="D11" s="429">
        <f t="shared" ref="D11:D44" si="0">IF(A11="","",B11+C11)</f>
        <v>0</v>
      </c>
      <c r="E11" s="428"/>
      <c r="F11" s="428"/>
      <c r="G11" s="430">
        <f t="shared" ref="G11:G44" si="1">IF(A11="","",D11-E11)</f>
        <v>0</v>
      </c>
    </row>
    <row r="12" spans="1:7" x14ac:dyDescent="0.25">
      <c r="A12" s="273" t="s">
        <v>661</v>
      </c>
      <c r="B12" s="428"/>
      <c r="C12" s="428"/>
      <c r="D12" s="429">
        <f t="shared" si="0"/>
        <v>0</v>
      </c>
      <c r="E12" s="428"/>
      <c r="F12" s="428"/>
      <c r="G12" s="430">
        <f t="shared" si="1"/>
        <v>0</v>
      </c>
    </row>
    <row r="13" spans="1:7" x14ac:dyDescent="0.25">
      <c r="A13" s="273" t="s">
        <v>662</v>
      </c>
      <c r="B13" s="428"/>
      <c r="C13" s="428"/>
      <c r="D13" s="429">
        <f t="shared" si="0"/>
        <v>0</v>
      </c>
      <c r="E13" s="428"/>
      <c r="F13" s="428"/>
      <c r="G13" s="430">
        <f t="shared" si="1"/>
        <v>0</v>
      </c>
    </row>
    <row r="14" spans="1:7" x14ac:dyDescent="0.25">
      <c r="A14" s="273" t="s">
        <v>663</v>
      </c>
      <c r="B14" s="428"/>
      <c r="C14" s="428"/>
      <c r="D14" s="429">
        <f t="shared" si="0"/>
        <v>0</v>
      </c>
      <c r="E14" s="428"/>
      <c r="F14" s="428"/>
      <c r="G14" s="430">
        <f t="shared" si="1"/>
        <v>0</v>
      </c>
    </row>
    <row r="15" spans="1:7" x14ac:dyDescent="0.25">
      <c r="A15" s="273" t="s">
        <v>664</v>
      </c>
      <c r="B15" s="428"/>
      <c r="C15" s="428"/>
      <c r="D15" s="429">
        <f t="shared" si="0"/>
        <v>0</v>
      </c>
      <c r="E15" s="428"/>
      <c r="F15" s="428"/>
      <c r="G15" s="430">
        <f t="shared" si="1"/>
        <v>0</v>
      </c>
    </row>
    <row r="16" spans="1:7" x14ac:dyDescent="0.25">
      <c r="A16" s="273" t="s">
        <v>665</v>
      </c>
      <c r="B16" s="428"/>
      <c r="C16" s="428"/>
      <c r="D16" s="429">
        <f t="shared" si="0"/>
        <v>0</v>
      </c>
      <c r="E16" s="428"/>
      <c r="F16" s="428"/>
      <c r="G16" s="430">
        <f t="shared" si="1"/>
        <v>0</v>
      </c>
    </row>
    <row r="17" spans="1:7" x14ac:dyDescent="0.25">
      <c r="A17" s="273" t="s">
        <v>666</v>
      </c>
      <c r="B17" s="428"/>
      <c r="C17" s="428"/>
      <c r="D17" s="429">
        <f t="shared" si="0"/>
        <v>0</v>
      </c>
      <c r="E17" s="428"/>
      <c r="F17" s="428"/>
      <c r="G17" s="430">
        <f t="shared" si="1"/>
        <v>0</v>
      </c>
    </row>
    <row r="18" spans="1:7" x14ac:dyDescent="0.25">
      <c r="A18" s="273" t="s">
        <v>500</v>
      </c>
      <c r="B18" s="428"/>
      <c r="C18" s="428"/>
      <c r="D18" s="429">
        <f t="shared" si="0"/>
        <v>0</v>
      </c>
      <c r="E18" s="428"/>
      <c r="F18" s="428"/>
      <c r="G18" s="430">
        <f t="shared" si="1"/>
        <v>0</v>
      </c>
    </row>
    <row r="19" spans="1:7" x14ac:dyDescent="0.25">
      <c r="A19" s="286"/>
      <c r="B19" s="428"/>
      <c r="C19" s="428"/>
      <c r="D19" s="429" t="str">
        <f t="shared" si="0"/>
        <v/>
      </c>
      <c r="E19" s="428"/>
      <c r="F19" s="428"/>
      <c r="G19" s="430" t="str">
        <f t="shared" si="1"/>
        <v/>
      </c>
    </row>
    <row r="20" spans="1:7" x14ac:dyDescent="0.25">
      <c r="A20" s="425" t="s">
        <v>667</v>
      </c>
      <c r="B20" s="426">
        <f>SUM(B21:B27)</f>
        <v>32253060.079999998</v>
      </c>
      <c r="C20" s="426">
        <f>SUM(C21:C27)</f>
        <v>4996155.3999999994</v>
      </c>
      <c r="D20" s="426">
        <f t="shared" si="0"/>
        <v>37249215.479999997</v>
      </c>
      <c r="E20" s="426">
        <f>SUM(E21:E27)</f>
        <v>34881677.560000002</v>
      </c>
      <c r="F20" s="426">
        <f>SUM(F21:F27)</f>
        <v>33580086.640000001</v>
      </c>
      <c r="G20" s="427">
        <f t="shared" si="1"/>
        <v>2367537.9199999943</v>
      </c>
    </row>
    <row r="21" spans="1:7" x14ac:dyDescent="0.25">
      <c r="A21" s="273" t="s">
        <v>668</v>
      </c>
      <c r="B21" s="428"/>
      <c r="C21" s="428"/>
      <c r="D21" s="429">
        <f t="shared" si="0"/>
        <v>0</v>
      </c>
      <c r="E21" s="428"/>
      <c r="F21" s="428"/>
      <c r="G21" s="430">
        <f t="shared" si="1"/>
        <v>0</v>
      </c>
    </row>
    <row r="22" spans="1:7" x14ac:dyDescent="0.25">
      <c r="A22" s="273" t="s">
        <v>669</v>
      </c>
      <c r="B22" s="428"/>
      <c r="C22" s="428"/>
      <c r="D22" s="429">
        <f t="shared" si="0"/>
        <v>0</v>
      </c>
      <c r="E22" s="428"/>
      <c r="F22" s="428"/>
      <c r="G22" s="430">
        <f t="shared" si="1"/>
        <v>0</v>
      </c>
    </row>
    <row r="23" spans="1:7" x14ac:dyDescent="0.25">
      <c r="A23" s="273" t="s">
        <v>670</v>
      </c>
      <c r="B23" s="428"/>
      <c r="C23" s="428"/>
      <c r="D23" s="429">
        <f t="shared" si="0"/>
        <v>0</v>
      </c>
      <c r="E23" s="428"/>
      <c r="F23" s="428"/>
      <c r="G23" s="430">
        <f t="shared" si="1"/>
        <v>0</v>
      </c>
    </row>
    <row r="24" spans="1:7" ht="25.5" x14ac:dyDescent="0.25">
      <c r="A24" s="273" t="s">
        <v>671</v>
      </c>
      <c r="B24" s="428">
        <f>'CPCA-II-10'!B10</f>
        <v>32253060.079999998</v>
      </c>
      <c r="C24" s="428">
        <f>'CPCA-II-10'!C10</f>
        <v>4996155.3999999994</v>
      </c>
      <c r="D24" s="429">
        <f t="shared" si="0"/>
        <v>37249215.479999997</v>
      </c>
      <c r="E24" s="428">
        <f>'CPCA-II-10'!E10</f>
        <v>34881677.560000002</v>
      </c>
      <c r="F24" s="428">
        <f>'CPCA-II-10'!F10</f>
        <v>33580086.640000001</v>
      </c>
      <c r="G24" s="430">
        <f t="shared" si="1"/>
        <v>2367537.9199999943</v>
      </c>
    </row>
    <row r="25" spans="1:7" x14ac:dyDescent="0.25">
      <c r="A25" s="273" t="s">
        <v>672</v>
      </c>
      <c r="B25" s="428"/>
      <c r="C25" s="428"/>
      <c r="D25" s="429">
        <f t="shared" si="0"/>
        <v>0</v>
      </c>
      <c r="E25" s="428"/>
      <c r="F25" s="428"/>
      <c r="G25" s="430">
        <f t="shared" si="1"/>
        <v>0</v>
      </c>
    </row>
    <row r="26" spans="1:7" x14ac:dyDescent="0.25">
      <c r="A26" s="273" t="s">
        <v>673</v>
      </c>
      <c r="B26" s="428"/>
      <c r="C26" s="428"/>
      <c r="D26" s="429">
        <f t="shared" si="0"/>
        <v>0</v>
      </c>
      <c r="E26" s="428"/>
      <c r="F26" s="428"/>
      <c r="G26" s="430">
        <f t="shared" si="1"/>
        <v>0</v>
      </c>
    </row>
    <row r="27" spans="1:7" x14ac:dyDescent="0.25">
      <c r="A27" s="273" t="s">
        <v>674</v>
      </c>
      <c r="B27" s="428"/>
      <c r="C27" s="428"/>
      <c r="D27" s="429">
        <f t="shared" si="0"/>
        <v>0</v>
      </c>
      <c r="E27" s="428"/>
      <c r="F27" s="428"/>
      <c r="G27" s="430">
        <f t="shared" si="1"/>
        <v>0</v>
      </c>
    </row>
    <row r="28" spans="1:7" x14ac:dyDescent="0.25">
      <c r="A28" s="286"/>
      <c r="B28" s="428"/>
      <c r="C28" s="428"/>
      <c r="D28" s="429" t="str">
        <f t="shared" si="0"/>
        <v/>
      </c>
      <c r="E28" s="428"/>
      <c r="F28" s="428"/>
      <c r="G28" s="430" t="str">
        <f t="shared" si="1"/>
        <v/>
      </c>
    </row>
    <row r="29" spans="1:7" x14ac:dyDescent="0.25">
      <c r="A29" s="425" t="s">
        <v>675</v>
      </c>
      <c r="B29" s="426">
        <f>SUM(B30:B38)</f>
        <v>0</v>
      </c>
      <c r="C29" s="426">
        <f>SUM(C30:C38)</f>
        <v>0</v>
      </c>
      <c r="D29" s="426">
        <f t="shared" si="0"/>
        <v>0</v>
      </c>
      <c r="E29" s="426">
        <f>SUM(E30:E38)</f>
        <v>0</v>
      </c>
      <c r="F29" s="426">
        <f>SUM(F30:F38)</f>
        <v>0</v>
      </c>
      <c r="G29" s="427">
        <f t="shared" si="1"/>
        <v>0</v>
      </c>
    </row>
    <row r="30" spans="1:7" ht="25.5" x14ac:dyDescent="0.25">
      <c r="A30" s="273" t="s">
        <v>676</v>
      </c>
      <c r="B30" s="428"/>
      <c r="C30" s="428"/>
      <c r="D30" s="429">
        <f t="shared" si="0"/>
        <v>0</v>
      </c>
      <c r="E30" s="428"/>
      <c r="F30" s="428"/>
      <c r="G30" s="430">
        <f t="shared" si="1"/>
        <v>0</v>
      </c>
    </row>
    <row r="31" spans="1:7" x14ac:dyDescent="0.25">
      <c r="A31" s="273" t="s">
        <v>677</v>
      </c>
      <c r="B31" s="428"/>
      <c r="C31" s="428"/>
      <c r="D31" s="429">
        <f t="shared" si="0"/>
        <v>0</v>
      </c>
      <c r="E31" s="428"/>
      <c r="F31" s="428"/>
      <c r="G31" s="430">
        <f t="shared" si="1"/>
        <v>0</v>
      </c>
    </row>
    <row r="32" spans="1:7" x14ac:dyDescent="0.25">
      <c r="A32" s="273" t="s">
        <v>678</v>
      </c>
      <c r="B32" s="428"/>
      <c r="C32" s="428"/>
      <c r="D32" s="429">
        <f t="shared" si="0"/>
        <v>0</v>
      </c>
      <c r="E32" s="428"/>
      <c r="F32" s="428"/>
      <c r="G32" s="430">
        <f t="shared" si="1"/>
        <v>0</v>
      </c>
    </row>
    <row r="33" spans="1:8" x14ac:dyDescent="0.25">
      <c r="A33" s="273" t="s">
        <v>679</v>
      </c>
      <c r="B33" s="428"/>
      <c r="C33" s="428"/>
      <c r="D33" s="429">
        <f t="shared" si="0"/>
        <v>0</v>
      </c>
      <c r="E33" s="428"/>
      <c r="F33" s="428"/>
      <c r="G33" s="430">
        <f t="shared" si="1"/>
        <v>0</v>
      </c>
    </row>
    <row r="34" spans="1:8" x14ac:dyDescent="0.25">
      <c r="A34" s="273" t="s">
        <v>680</v>
      </c>
      <c r="B34" s="428"/>
      <c r="C34" s="428"/>
      <c r="D34" s="429">
        <f t="shared" si="0"/>
        <v>0</v>
      </c>
      <c r="E34" s="428"/>
      <c r="F34" s="428"/>
      <c r="G34" s="430">
        <f t="shared" si="1"/>
        <v>0</v>
      </c>
    </row>
    <row r="35" spans="1:8" x14ac:dyDescent="0.25">
      <c r="A35" s="273" t="s">
        <v>681</v>
      </c>
      <c r="B35" s="428"/>
      <c r="C35" s="428"/>
      <c r="D35" s="429">
        <f t="shared" si="0"/>
        <v>0</v>
      </c>
      <c r="E35" s="428"/>
      <c r="F35" s="428"/>
      <c r="G35" s="430">
        <f t="shared" si="1"/>
        <v>0</v>
      </c>
    </row>
    <row r="36" spans="1:8" x14ac:dyDescent="0.25">
      <c r="A36" s="273" t="s">
        <v>682</v>
      </c>
      <c r="B36" s="428"/>
      <c r="C36" s="428"/>
      <c r="D36" s="429">
        <f t="shared" si="0"/>
        <v>0</v>
      </c>
      <c r="E36" s="428"/>
      <c r="F36" s="428"/>
      <c r="G36" s="430">
        <f t="shared" si="1"/>
        <v>0</v>
      </c>
    </row>
    <row r="37" spans="1:8" x14ac:dyDescent="0.25">
      <c r="A37" s="273" t="s">
        <v>683</v>
      </c>
      <c r="B37" s="428"/>
      <c r="C37" s="428"/>
      <c r="D37" s="429">
        <f t="shared" si="0"/>
        <v>0</v>
      </c>
      <c r="E37" s="428"/>
      <c r="F37" s="428"/>
      <c r="G37" s="430">
        <f t="shared" si="1"/>
        <v>0</v>
      </c>
    </row>
    <row r="38" spans="1:8" x14ac:dyDescent="0.25">
      <c r="A38" s="273" t="s">
        <v>684</v>
      </c>
      <c r="B38" s="428"/>
      <c r="C38" s="428"/>
      <c r="D38" s="429">
        <f t="shared" si="0"/>
        <v>0</v>
      </c>
      <c r="E38" s="428"/>
      <c r="F38" s="428"/>
      <c r="G38" s="430">
        <f t="shared" si="1"/>
        <v>0</v>
      </c>
    </row>
    <row r="39" spans="1:8" x14ac:dyDescent="0.25">
      <c r="A39" s="286"/>
      <c r="B39" s="428"/>
      <c r="C39" s="428"/>
      <c r="D39" s="429" t="str">
        <f t="shared" si="0"/>
        <v/>
      </c>
      <c r="E39" s="428"/>
      <c r="F39" s="428"/>
      <c r="G39" s="430" t="str">
        <f t="shared" si="1"/>
        <v/>
      </c>
    </row>
    <row r="40" spans="1:8" ht="25.5" x14ac:dyDescent="0.25">
      <c r="A40" s="425" t="s">
        <v>685</v>
      </c>
      <c r="B40" s="426">
        <f>SUM(B41:B44)</f>
        <v>0</v>
      </c>
      <c r="C40" s="426">
        <f>SUM(C41:C44)</f>
        <v>0</v>
      </c>
      <c r="D40" s="426">
        <f t="shared" si="0"/>
        <v>0</v>
      </c>
      <c r="E40" s="426">
        <f>SUM(E41:E44)</f>
        <v>0</v>
      </c>
      <c r="F40" s="426">
        <f>SUM(F41:F44)</f>
        <v>0</v>
      </c>
      <c r="G40" s="427">
        <f t="shared" si="1"/>
        <v>0</v>
      </c>
    </row>
    <row r="41" spans="1:8" ht="25.5" x14ac:dyDescent="0.25">
      <c r="A41" s="431" t="s">
        <v>686</v>
      </c>
      <c r="B41" s="428">
        <v>0</v>
      </c>
      <c r="C41" s="428">
        <v>0</v>
      </c>
      <c r="D41" s="429">
        <f t="shared" si="0"/>
        <v>0</v>
      </c>
      <c r="E41" s="428">
        <v>0</v>
      </c>
      <c r="F41" s="428">
        <v>0</v>
      </c>
      <c r="G41" s="430">
        <f t="shared" si="1"/>
        <v>0</v>
      </c>
    </row>
    <row r="42" spans="1:8" ht="38.25" x14ac:dyDescent="0.25">
      <c r="A42" s="431" t="s">
        <v>687</v>
      </c>
      <c r="B42" s="428"/>
      <c r="C42" s="428"/>
      <c r="D42" s="429">
        <f t="shared" si="0"/>
        <v>0</v>
      </c>
      <c r="E42" s="428"/>
      <c r="F42" s="428"/>
      <c r="G42" s="430">
        <f t="shared" si="1"/>
        <v>0</v>
      </c>
    </row>
    <row r="43" spans="1:8" x14ac:dyDescent="0.25">
      <c r="A43" s="273" t="s">
        <v>688</v>
      </c>
      <c r="B43" s="428"/>
      <c r="C43" s="428"/>
      <c r="D43" s="429">
        <f t="shared" si="0"/>
        <v>0</v>
      </c>
      <c r="E43" s="428"/>
      <c r="F43" s="428"/>
      <c r="G43" s="430">
        <f t="shared" si="1"/>
        <v>0</v>
      </c>
    </row>
    <row r="44" spans="1:8" ht="15.75" thickBot="1" x14ac:dyDescent="0.3">
      <c r="A44" s="273" t="s">
        <v>689</v>
      </c>
      <c r="B44" s="428"/>
      <c r="C44" s="428"/>
      <c r="D44" s="429">
        <f t="shared" si="0"/>
        <v>0</v>
      </c>
      <c r="E44" s="428"/>
      <c r="F44" s="428"/>
      <c r="G44" s="430">
        <f t="shared" si="1"/>
        <v>0</v>
      </c>
    </row>
    <row r="45" spans="1:8" ht="15.75" thickBot="1" x14ac:dyDescent="0.3">
      <c r="A45" s="282" t="s">
        <v>525</v>
      </c>
      <c r="B45" s="432">
        <f>SUM(B10,B20,B29,B40)</f>
        <v>32253060.079999998</v>
      </c>
      <c r="C45" s="432">
        <f>SUM(C10,C20,C29,C40)</f>
        <v>4996155.3999999994</v>
      </c>
      <c r="D45" s="432">
        <f>IF(A45="","",B45+C45)</f>
        <v>37249215.479999997</v>
      </c>
      <c r="E45" s="432">
        <f>SUM(E10,E20,E29,E40)</f>
        <v>34881677.560000002</v>
      </c>
      <c r="F45" s="432">
        <f>SUM(F10,F20,F29,F40)</f>
        <v>33580086.640000001</v>
      </c>
      <c r="G45" s="433">
        <f>IF(A45="","",D45-E45)</f>
        <v>2367537.9199999943</v>
      </c>
      <c r="H45" s="482" t="str">
        <f>IF((B45-'CPCA II-04'!B81)&gt;0.9,"ERROR!!!!! EL MONTO NO COINCIDE CON LO REPORTADO EN EL FORMATO ETCA-II-04 EN EL TOTAL APROBADO ANUAL DEL ANALÍTICO DE EGRESOS","")</f>
        <v/>
      </c>
    </row>
    <row r="46" spans="1:8" ht="9" customHeight="1" x14ac:dyDescent="0.25">
      <c r="A46" s="466"/>
      <c r="B46" s="469"/>
      <c r="C46" s="469"/>
      <c r="D46" s="469"/>
      <c r="E46" s="469"/>
      <c r="F46" s="469"/>
      <c r="G46" s="469"/>
      <c r="H46" s="482" t="str">
        <f>IF((C45-'CPCA II-04'!C81)&gt;0.9,"ERROR!!!!! EL MONTO NO COINCIDE CON LO REPORTADO EN EL FORMATO ETCA-II-04 EN EL TOTAL DE AMPLIACIONES/REDUCCIONES PRESENTADO EN EL ANALÍTICO DE EGRESOS","")</f>
        <v/>
      </c>
    </row>
    <row r="47" spans="1:8" x14ac:dyDescent="0.25">
      <c r="A47" s="467"/>
      <c r="B47" s="468"/>
      <c r="C47" s="468"/>
      <c r="D47" s="469"/>
      <c r="E47" s="468"/>
      <c r="F47" s="468"/>
      <c r="G47" s="469"/>
      <c r="H47" s="482" t="str">
        <f>IF((E45-'CPCA II-04'!E81)&gt;0.9,"ERROR!!!!! EL MONTO NO COINCIDE CON LO REPORTADO EN EL FORMATO ETCA-II-04 EN EL TOTAL DEVENGADO ANUAL PRESENTADO EN EL ANALÍTICO DE EGRESOS","")</f>
        <v/>
      </c>
    </row>
    <row r="48" spans="1:8" x14ac:dyDescent="0.25">
      <c r="A48" s="466"/>
      <c r="B48" s="469"/>
      <c r="C48" s="469"/>
      <c r="D48" s="469"/>
      <c r="E48" s="469"/>
      <c r="F48" s="469"/>
      <c r="G48" s="469"/>
      <c r="H48" s="482" t="str">
        <f>IF((F45-'CPCA II-04'!F81)&gt;0.9,"ERROR!!!!! EL MONTO NO COINCIDE CON LO REPORTADO EN EL FORMATO ETCA-II-04 EN EL TOTAL PAGADO ANUAL PRESENTADO EN EL ANALÍTICO DE EGRESOS","")</f>
        <v/>
      </c>
    </row>
    <row r="49" spans="8:8" x14ac:dyDescent="0.25">
      <c r="H49" s="482" t="str">
        <f>IF((G45-'CPCA II-04'!G81)&gt;0.9,"ERROR!!!!! EL MONTO NO COINCIDE CON LO REPORTADO EN EL FORMATO ETCA-II-04 EN EL TOTAL SUBEJERCICIO PRESENTADO EN EL ANALÍTICO DE EGRESOS","")</f>
        <v/>
      </c>
    </row>
  </sheetData>
  <sheetProtection formatColumns="0" formatRows="0"/>
  <mergeCells count="7">
    <mergeCell ref="A7:A8"/>
    <mergeCell ref="A1:G1"/>
    <mergeCell ref="A2:G2"/>
    <mergeCell ref="A3:G3"/>
    <mergeCell ref="A4:G4"/>
    <mergeCell ref="A5:G5"/>
    <mergeCell ref="B6:E6"/>
  </mergeCells>
  <printOptions horizontalCentered="1"/>
  <pageMargins left="0.70866141732283472" right="0.70866141732283472" top="0.35433070866141736" bottom="0.35433070866141736" header="0.31496062992125984" footer="0.31496062992125984"/>
  <pageSetup scale="86" orientation="portrait" r:id="rId1"/>
  <colBreaks count="1" manualBreakCount="1">
    <brk id="7"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view="pageBreakPreview" zoomScaleNormal="100" zoomScaleSheetLayoutView="100" workbookViewId="0">
      <selection activeCell="H25" sqref="H25"/>
    </sheetView>
  </sheetViews>
  <sheetFormatPr baseColWidth="10" defaultColWidth="11.42578125" defaultRowHeight="15" x14ac:dyDescent="0.25"/>
  <cols>
    <col min="1" max="1" width="4.42578125" customWidth="1"/>
    <col min="2" max="2" width="60.5703125" customWidth="1"/>
  </cols>
  <sheetData>
    <row r="1" spans="1:8" s="641" customFormat="1" ht="15.75" x14ac:dyDescent="0.25">
      <c r="A1" s="1433" t="s">
        <v>1028</v>
      </c>
      <c r="B1" s="1434"/>
      <c r="C1" s="1434"/>
      <c r="D1" s="1434"/>
      <c r="E1" s="1434"/>
      <c r="F1" s="1434"/>
      <c r="G1" s="1434"/>
      <c r="H1" s="1435"/>
    </row>
    <row r="2" spans="1:8" s="641" customFormat="1" ht="12" customHeight="1" x14ac:dyDescent="0.25">
      <c r="A2" s="1482"/>
      <c r="B2" s="1483"/>
      <c r="C2" s="1483"/>
      <c r="D2" s="1483"/>
      <c r="E2" s="1483"/>
      <c r="F2" s="1483"/>
      <c r="G2" s="1483"/>
      <c r="H2" s="1484"/>
    </row>
    <row r="3" spans="1:8" s="641" customFormat="1" x14ac:dyDescent="0.25">
      <c r="A3" s="1477" t="s">
        <v>526</v>
      </c>
      <c r="B3" s="1478"/>
      <c r="C3" s="1478"/>
      <c r="D3" s="1478"/>
      <c r="E3" s="1478"/>
      <c r="F3" s="1478"/>
      <c r="G3" s="1478"/>
      <c r="H3" s="1479"/>
    </row>
    <row r="4" spans="1:8" s="641" customFormat="1" ht="11.25" customHeight="1" x14ac:dyDescent="0.25">
      <c r="A4" s="1477" t="s">
        <v>658</v>
      </c>
      <c r="B4" s="1478"/>
      <c r="C4" s="1478"/>
      <c r="D4" s="1478"/>
      <c r="E4" s="1478"/>
      <c r="F4" s="1478"/>
      <c r="G4" s="1478"/>
      <c r="H4" s="1479"/>
    </row>
    <row r="5" spans="1:8" s="641" customFormat="1" ht="11.25" customHeight="1" x14ac:dyDescent="0.25">
      <c r="A5" s="1477" t="str">
        <f>'CPCA-I-03'!A4:D4</f>
        <v>Del 01 de ENERO al 31 de DICIEMBRE de 2024</v>
      </c>
      <c r="B5" s="1478"/>
      <c r="C5" s="1478"/>
      <c r="D5" s="1478"/>
      <c r="E5" s="1478"/>
      <c r="F5" s="1478"/>
      <c r="G5" s="1478"/>
      <c r="H5" s="1479"/>
    </row>
    <row r="6" spans="1:8" s="641" customFormat="1" ht="12.75" customHeight="1" thickBot="1" x14ac:dyDescent="0.3">
      <c r="A6" s="1475" t="s">
        <v>84</v>
      </c>
      <c r="B6" s="1480"/>
      <c r="C6" s="1480"/>
      <c r="D6" s="1480"/>
      <c r="E6" s="1480"/>
      <c r="F6" s="1480"/>
      <c r="G6" s="1480"/>
      <c r="H6" s="1481"/>
    </row>
    <row r="7" spans="1:8" s="641" customFormat="1" ht="15.75" thickBot="1" x14ac:dyDescent="0.3">
      <c r="A7" s="1473" t="s">
        <v>85</v>
      </c>
      <c r="B7" s="1474"/>
      <c r="C7" s="1446" t="s">
        <v>528</v>
      </c>
      <c r="D7" s="1447"/>
      <c r="E7" s="1447"/>
      <c r="F7" s="1447"/>
      <c r="G7" s="1448"/>
      <c r="H7" s="1444" t="s">
        <v>529</v>
      </c>
    </row>
    <row r="8" spans="1:8" s="641" customFormat="1" ht="26.25" thickBot="1" x14ac:dyDescent="0.3">
      <c r="A8" s="1475"/>
      <c r="B8" s="1476"/>
      <c r="C8" s="752" t="s">
        <v>530</v>
      </c>
      <c r="D8" s="752" t="s">
        <v>531</v>
      </c>
      <c r="E8" s="752" t="s">
        <v>532</v>
      </c>
      <c r="F8" s="752" t="s">
        <v>399</v>
      </c>
      <c r="G8" s="752" t="s">
        <v>630</v>
      </c>
      <c r="H8" s="1445"/>
    </row>
    <row r="9" spans="1:8" x14ac:dyDescent="0.25">
      <c r="A9" s="1467"/>
      <c r="B9" s="1468"/>
      <c r="C9" s="736"/>
      <c r="D9" s="736"/>
      <c r="E9" s="736"/>
      <c r="F9" s="736"/>
      <c r="G9" s="736"/>
      <c r="H9" s="736"/>
    </row>
    <row r="10" spans="1:8" ht="16.5" customHeight="1" x14ac:dyDescent="0.25">
      <c r="A10" s="1469" t="s">
        <v>690</v>
      </c>
      <c r="B10" s="1470"/>
      <c r="C10" s="662">
        <f t="shared" ref="C10:H10" si="0">+C11+C21+C30+C41</f>
        <v>32253060.079999998</v>
      </c>
      <c r="D10" s="662">
        <f t="shared" si="0"/>
        <v>4996155.3999999994</v>
      </c>
      <c r="E10" s="662">
        <f t="shared" si="0"/>
        <v>37249215.479999997</v>
      </c>
      <c r="F10" s="662">
        <f t="shared" si="0"/>
        <v>34881677.560000002</v>
      </c>
      <c r="G10" s="662">
        <f t="shared" si="0"/>
        <v>33580086.640000001</v>
      </c>
      <c r="H10" s="662">
        <f t="shared" si="0"/>
        <v>2367537.9199999943</v>
      </c>
    </row>
    <row r="11" spans="1:8" x14ac:dyDescent="0.25">
      <c r="A11" s="1471" t="s">
        <v>691</v>
      </c>
      <c r="B11" s="1472"/>
      <c r="C11" s="688">
        <f t="shared" ref="C11:H11" si="1">SUM(C12:C19)</f>
        <v>0</v>
      </c>
      <c r="D11" s="688">
        <f t="shared" si="1"/>
        <v>0</v>
      </c>
      <c r="E11" s="688">
        <f t="shared" si="1"/>
        <v>0</v>
      </c>
      <c r="F11" s="688">
        <f t="shared" si="1"/>
        <v>0</v>
      </c>
      <c r="G11" s="688">
        <f t="shared" si="1"/>
        <v>0</v>
      </c>
      <c r="H11" s="688">
        <f t="shared" si="1"/>
        <v>0</v>
      </c>
    </row>
    <row r="12" spans="1:8" x14ac:dyDescent="0.25">
      <c r="A12" s="689"/>
      <c r="B12" s="690" t="s">
        <v>692</v>
      </c>
      <c r="C12" s="691"/>
      <c r="D12" s="691"/>
      <c r="E12" s="688">
        <f>C12+D12</f>
        <v>0</v>
      </c>
      <c r="F12" s="691"/>
      <c r="G12" s="691"/>
      <c r="H12" s="688">
        <f>+E12-F12</f>
        <v>0</v>
      </c>
    </row>
    <row r="13" spans="1:8" x14ac:dyDescent="0.25">
      <c r="A13" s="689"/>
      <c r="B13" s="690" t="s">
        <v>693</v>
      </c>
      <c r="C13" s="691"/>
      <c r="D13" s="691"/>
      <c r="E13" s="688">
        <f t="shared" ref="E13:E19" si="2">C13+D13</f>
        <v>0</v>
      </c>
      <c r="F13" s="691"/>
      <c r="G13" s="691"/>
      <c r="H13" s="688">
        <f t="shared" ref="H13:H28" si="3">+E13-F13</f>
        <v>0</v>
      </c>
    </row>
    <row r="14" spans="1:8" x14ac:dyDescent="0.25">
      <c r="A14" s="689"/>
      <c r="B14" s="690" t="s">
        <v>694</v>
      </c>
      <c r="C14" s="691"/>
      <c r="D14" s="691"/>
      <c r="E14" s="688">
        <f t="shared" si="2"/>
        <v>0</v>
      </c>
      <c r="F14" s="691"/>
      <c r="G14" s="691"/>
      <c r="H14" s="688">
        <f t="shared" si="3"/>
        <v>0</v>
      </c>
    </row>
    <row r="15" spans="1:8" x14ac:dyDescent="0.25">
      <c r="A15" s="689"/>
      <c r="B15" s="690" t="s">
        <v>695</v>
      </c>
      <c r="C15" s="691"/>
      <c r="D15" s="691"/>
      <c r="E15" s="688">
        <f t="shared" si="2"/>
        <v>0</v>
      </c>
      <c r="F15" s="691"/>
      <c r="G15" s="691"/>
      <c r="H15" s="688">
        <f t="shared" si="3"/>
        <v>0</v>
      </c>
    </row>
    <row r="16" spans="1:8" x14ac:dyDescent="0.25">
      <c r="A16" s="689"/>
      <c r="B16" s="690" t="s">
        <v>696</v>
      </c>
      <c r="C16" s="691"/>
      <c r="D16" s="691"/>
      <c r="E16" s="688">
        <f t="shared" si="2"/>
        <v>0</v>
      </c>
      <c r="F16" s="691"/>
      <c r="G16" s="691"/>
      <c r="H16" s="688">
        <f t="shared" si="3"/>
        <v>0</v>
      </c>
    </row>
    <row r="17" spans="1:8" x14ac:dyDescent="0.25">
      <c r="A17" s="689"/>
      <c r="B17" s="690" t="s">
        <v>697</v>
      </c>
      <c r="C17" s="691"/>
      <c r="D17" s="691"/>
      <c r="E17" s="688">
        <f t="shared" si="2"/>
        <v>0</v>
      </c>
      <c r="F17" s="691"/>
      <c r="G17" s="691"/>
      <c r="H17" s="688">
        <f t="shared" si="3"/>
        <v>0</v>
      </c>
    </row>
    <row r="18" spans="1:8" x14ac:dyDescent="0.25">
      <c r="A18" s="689"/>
      <c r="B18" s="690" t="s">
        <v>698</v>
      </c>
      <c r="C18" s="691"/>
      <c r="D18" s="691"/>
      <c r="E18" s="688">
        <f t="shared" si="2"/>
        <v>0</v>
      </c>
      <c r="F18" s="691"/>
      <c r="G18" s="691"/>
      <c r="H18" s="688">
        <f t="shared" si="3"/>
        <v>0</v>
      </c>
    </row>
    <row r="19" spans="1:8" x14ac:dyDescent="0.25">
      <c r="A19" s="689"/>
      <c r="B19" s="690" t="s">
        <v>699</v>
      </c>
      <c r="C19" s="691"/>
      <c r="D19" s="691"/>
      <c r="E19" s="688">
        <f t="shared" si="2"/>
        <v>0</v>
      </c>
      <c r="F19" s="691"/>
      <c r="G19" s="691"/>
      <c r="H19" s="688">
        <f t="shared" si="3"/>
        <v>0</v>
      </c>
    </row>
    <row r="20" spans="1:8" x14ac:dyDescent="0.25">
      <c r="A20" s="692"/>
      <c r="B20" s="693"/>
      <c r="C20" s="694"/>
      <c r="D20" s="694"/>
      <c r="E20" s="694"/>
      <c r="F20" s="694"/>
      <c r="G20" s="694"/>
      <c r="H20" s="695" t="s">
        <v>245</v>
      </c>
    </row>
    <row r="21" spans="1:8" x14ac:dyDescent="0.25">
      <c r="A21" s="1471" t="s">
        <v>700</v>
      </c>
      <c r="B21" s="1472"/>
      <c r="C21" s="688">
        <f t="shared" ref="C21:H21" si="4">SUM(C22:C28)</f>
        <v>32253060.079999998</v>
      </c>
      <c r="D21" s="688">
        <f t="shared" si="4"/>
        <v>4996155.3999999994</v>
      </c>
      <c r="E21" s="688">
        <f t="shared" si="4"/>
        <v>37249215.479999997</v>
      </c>
      <c r="F21" s="688">
        <f t="shared" si="4"/>
        <v>34881677.560000002</v>
      </c>
      <c r="G21" s="688">
        <f t="shared" si="4"/>
        <v>33580086.640000001</v>
      </c>
      <c r="H21" s="688">
        <f t="shared" si="4"/>
        <v>2367537.9199999943</v>
      </c>
    </row>
    <row r="22" spans="1:8" x14ac:dyDescent="0.25">
      <c r="A22" s="689"/>
      <c r="B22" s="690" t="s">
        <v>701</v>
      </c>
      <c r="C22" s="691"/>
      <c r="D22" s="691"/>
      <c r="E22" s="688">
        <f t="shared" ref="E22:E28" si="5">C22+D22</f>
        <v>0</v>
      </c>
      <c r="F22" s="691"/>
      <c r="G22" s="691"/>
      <c r="H22" s="688">
        <f t="shared" si="3"/>
        <v>0</v>
      </c>
    </row>
    <row r="23" spans="1:8" x14ac:dyDescent="0.25">
      <c r="A23" s="689"/>
      <c r="B23" s="690" t="s">
        <v>702</v>
      </c>
      <c r="C23" s="691"/>
      <c r="D23" s="691"/>
      <c r="E23" s="688">
        <f t="shared" si="5"/>
        <v>0</v>
      </c>
      <c r="F23" s="691"/>
      <c r="G23" s="691"/>
      <c r="H23" s="688">
        <f t="shared" si="3"/>
        <v>0</v>
      </c>
    </row>
    <row r="24" spans="1:8" x14ac:dyDescent="0.25">
      <c r="A24" s="689"/>
      <c r="B24" s="690" t="s">
        <v>703</v>
      </c>
      <c r="C24" s="691"/>
      <c r="D24" s="691"/>
      <c r="E24" s="688">
        <f t="shared" si="5"/>
        <v>0</v>
      </c>
      <c r="F24" s="691"/>
      <c r="G24" s="691"/>
      <c r="H24" s="688">
        <f t="shared" si="3"/>
        <v>0</v>
      </c>
    </row>
    <row r="25" spans="1:8" x14ac:dyDescent="0.25">
      <c r="A25" s="689"/>
      <c r="B25" s="690" t="s">
        <v>704</v>
      </c>
      <c r="C25" s="691">
        <f>'CPCA-II-11'!B24</f>
        <v>32253060.079999998</v>
      </c>
      <c r="D25" s="691">
        <f>'CPCA-II-11'!C24</f>
        <v>4996155.3999999994</v>
      </c>
      <c r="E25" s="688">
        <f t="shared" si="5"/>
        <v>37249215.479999997</v>
      </c>
      <c r="F25" s="691">
        <f>'CPCA-II-11'!E24</f>
        <v>34881677.560000002</v>
      </c>
      <c r="G25" s="691">
        <f>'CPCA-II-11'!F24</f>
        <v>33580086.640000001</v>
      </c>
      <c r="H25" s="688">
        <f t="shared" si="3"/>
        <v>2367537.9199999943</v>
      </c>
    </row>
    <row r="26" spans="1:8" x14ac:dyDescent="0.25">
      <c r="A26" s="689"/>
      <c r="B26" s="690" t="s">
        <v>705</v>
      </c>
      <c r="C26" s="691"/>
      <c r="D26" s="691"/>
      <c r="E26" s="688">
        <f t="shared" si="5"/>
        <v>0</v>
      </c>
      <c r="F26" s="691"/>
      <c r="G26" s="691"/>
      <c r="H26" s="688">
        <f t="shared" si="3"/>
        <v>0</v>
      </c>
    </row>
    <row r="27" spans="1:8" x14ac:dyDescent="0.25">
      <c r="A27" s="689"/>
      <c r="B27" s="690" t="s">
        <v>706</v>
      </c>
      <c r="C27" s="691"/>
      <c r="D27" s="691"/>
      <c r="E27" s="688">
        <f t="shared" si="5"/>
        <v>0</v>
      </c>
      <c r="F27" s="691"/>
      <c r="G27" s="691"/>
      <c r="H27" s="688">
        <f t="shared" si="3"/>
        <v>0</v>
      </c>
    </row>
    <row r="28" spans="1:8" x14ac:dyDescent="0.25">
      <c r="A28" s="689"/>
      <c r="B28" s="690" t="s">
        <v>707</v>
      </c>
      <c r="C28" s="691"/>
      <c r="D28" s="691"/>
      <c r="E28" s="688">
        <f t="shared" si="5"/>
        <v>0</v>
      </c>
      <c r="F28" s="691"/>
      <c r="G28" s="691"/>
      <c r="H28" s="688">
        <f t="shared" si="3"/>
        <v>0</v>
      </c>
    </row>
    <row r="29" spans="1:8" x14ac:dyDescent="0.25">
      <c r="A29" s="692"/>
      <c r="B29" s="693"/>
      <c r="C29" s="696"/>
      <c r="D29" s="696"/>
      <c r="E29" s="696"/>
      <c r="F29" s="696"/>
      <c r="G29" s="696"/>
      <c r="H29" s="696"/>
    </row>
    <row r="30" spans="1:8" x14ac:dyDescent="0.25">
      <c r="A30" s="1471" t="s">
        <v>708</v>
      </c>
      <c r="B30" s="1472"/>
      <c r="C30" s="688">
        <f t="shared" ref="C30:H30" si="6">SUM(C31:C39)</f>
        <v>0</v>
      </c>
      <c r="D30" s="688">
        <f t="shared" si="6"/>
        <v>0</v>
      </c>
      <c r="E30" s="688">
        <f t="shared" si="6"/>
        <v>0</v>
      </c>
      <c r="F30" s="688">
        <f t="shared" si="6"/>
        <v>0</v>
      </c>
      <c r="G30" s="688">
        <f t="shared" si="6"/>
        <v>0</v>
      </c>
      <c r="H30" s="688">
        <f t="shared" si="6"/>
        <v>0</v>
      </c>
    </row>
    <row r="31" spans="1:8" x14ac:dyDescent="0.25">
      <c r="A31" s="689"/>
      <c r="B31" s="690" t="s">
        <v>709</v>
      </c>
      <c r="C31" s="691"/>
      <c r="D31" s="691"/>
      <c r="E31" s="688">
        <f t="shared" ref="E31:E39" si="7">C31+D31</f>
        <v>0</v>
      </c>
      <c r="F31" s="691"/>
      <c r="G31" s="691"/>
      <c r="H31" s="688">
        <f t="shared" ref="H31:H39" si="8">+E31-F31</f>
        <v>0</v>
      </c>
    </row>
    <row r="32" spans="1:8" x14ac:dyDescent="0.25">
      <c r="A32" s="689"/>
      <c r="B32" s="690" t="s">
        <v>710</v>
      </c>
      <c r="C32" s="691"/>
      <c r="D32" s="691"/>
      <c r="E32" s="688">
        <f t="shared" si="7"/>
        <v>0</v>
      </c>
      <c r="F32" s="691"/>
      <c r="G32" s="691"/>
      <c r="H32" s="688">
        <f t="shared" si="8"/>
        <v>0</v>
      </c>
    </row>
    <row r="33" spans="1:8" x14ac:dyDescent="0.25">
      <c r="A33" s="689"/>
      <c r="B33" s="690" t="s">
        <v>711</v>
      </c>
      <c r="C33" s="691"/>
      <c r="D33" s="691"/>
      <c r="E33" s="688">
        <f t="shared" si="7"/>
        <v>0</v>
      </c>
      <c r="F33" s="691"/>
      <c r="G33" s="691"/>
      <c r="H33" s="688">
        <f t="shared" si="8"/>
        <v>0</v>
      </c>
    </row>
    <row r="34" spans="1:8" ht="15.75" thickBot="1" x14ac:dyDescent="0.3">
      <c r="A34" s="697"/>
      <c r="B34" s="698" t="s">
        <v>712</v>
      </c>
      <c r="C34" s="699"/>
      <c r="D34" s="699"/>
      <c r="E34" s="700">
        <f t="shared" si="7"/>
        <v>0</v>
      </c>
      <c r="F34" s="699"/>
      <c r="G34" s="699"/>
      <c r="H34" s="700">
        <f t="shared" si="8"/>
        <v>0</v>
      </c>
    </row>
    <row r="35" spans="1:8" x14ac:dyDescent="0.25">
      <c r="A35" s="689"/>
      <c r="B35" s="690" t="s">
        <v>713</v>
      </c>
      <c r="C35" s="691"/>
      <c r="D35" s="691"/>
      <c r="E35" s="688">
        <f t="shared" si="7"/>
        <v>0</v>
      </c>
      <c r="F35" s="691"/>
      <c r="G35" s="691"/>
      <c r="H35" s="688">
        <f t="shared" si="8"/>
        <v>0</v>
      </c>
    </row>
    <row r="36" spans="1:8" x14ac:dyDescent="0.25">
      <c r="A36" s="689"/>
      <c r="B36" s="690" t="s">
        <v>714</v>
      </c>
      <c r="C36" s="691"/>
      <c r="D36" s="691"/>
      <c r="E36" s="688">
        <f t="shared" si="7"/>
        <v>0</v>
      </c>
      <c r="F36" s="691"/>
      <c r="G36" s="691"/>
      <c r="H36" s="688">
        <f t="shared" si="8"/>
        <v>0</v>
      </c>
    </row>
    <row r="37" spans="1:8" x14ac:dyDescent="0.25">
      <c r="A37" s="689"/>
      <c r="B37" s="690" t="s">
        <v>715</v>
      </c>
      <c r="C37" s="691"/>
      <c r="D37" s="691"/>
      <c r="E37" s="688">
        <f t="shared" si="7"/>
        <v>0</v>
      </c>
      <c r="F37" s="691"/>
      <c r="G37" s="691"/>
      <c r="H37" s="688">
        <f t="shared" si="8"/>
        <v>0</v>
      </c>
    </row>
    <row r="38" spans="1:8" x14ac:dyDescent="0.25">
      <c r="A38" s="689"/>
      <c r="B38" s="690" t="s">
        <v>716</v>
      </c>
      <c r="C38" s="691"/>
      <c r="D38" s="691"/>
      <c r="E38" s="688">
        <f t="shared" si="7"/>
        <v>0</v>
      </c>
      <c r="F38" s="691"/>
      <c r="G38" s="691"/>
      <c r="H38" s="688">
        <f t="shared" si="8"/>
        <v>0</v>
      </c>
    </row>
    <row r="39" spans="1:8" x14ac:dyDescent="0.25">
      <c r="A39" s="689"/>
      <c r="B39" s="690" t="s">
        <v>717</v>
      </c>
      <c r="C39" s="691"/>
      <c r="D39" s="691"/>
      <c r="E39" s="688">
        <f t="shared" si="7"/>
        <v>0</v>
      </c>
      <c r="F39" s="691"/>
      <c r="G39" s="691"/>
      <c r="H39" s="688">
        <f t="shared" si="8"/>
        <v>0</v>
      </c>
    </row>
    <row r="40" spans="1:8" x14ac:dyDescent="0.25">
      <c r="A40" s="689"/>
      <c r="B40" s="690"/>
      <c r="C40" s="691"/>
      <c r="D40" s="691"/>
      <c r="E40" s="688"/>
      <c r="F40" s="691"/>
      <c r="G40" s="691"/>
      <c r="H40" s="688"/>
    </row>
    <row r="41" spans="1:8" x14ac:dyDescent="0.25">
      <c r="A41" s="689" t="s">
        <v>718</v>
      </c>
      <c r="B41" s="690"/>
      <c r="C41" s="695">
        <f t="shared" ref="C41:H41" si="9">SUM(C42:C45)</f>
        <v>0</v>
      </c>
      <c r="D41" s="695">
        <f t="shared" si="9"/>
        <v>0</v>
      </c>
      <c r="E41" s="695">
        <f t="shared" si="9"/>
        <v>0</v>
      </c>
      <c r="F41" s="695">
        <f t="shared" si="9"/>
        <v>0</v>
      </c>
      <c r="G41" s="695">
        <f t="shared" si="9"/>
        <v>0</v>
      </c>
      <c r="H41" s="695">
        <f t="shared" si="9"/>
        <v>0</v>
      </c>
    </row>
    <row r="42" spans="1:8" x14ac:dyDescent="0.25">
      <c r="A42" s="689"/>
      <c r="B42" s="690" t="s">
        <v>719</v>
      </c>
      <c r="C42" s="691"/>
      <c r="D42" s="691"/>
      <c r="E42" s="688">
        <f>C42+D42</f>
        <v>0</v>
      </c>
      <c r="F42" s="691"/>
      <c r="G42" s="691"/>
      <c r="H42" s="688">
        <f>+E42-F42</f>
        <v>0</v>
      </c>
    </row>
    <row r="43" spans="1:8" x14ac:dyDescent="0.25">
      <c r="A43" s="689"/>
      <c r="B43" s="690" t="s">
        <v>720</v>
      </c>
      <c r="C43" s="691"/>
      <c r="D43" s="691"/>
      <c r="E43" s="688">
        <f>C43+D43</f>
        <v>0</v>
      </c>
      <c r="F43" s="691"/>
      <c r="G43" s="691"/>
      <c r="H43" s="688">
        <f>+E43-F43</f>
        <v>0</v>
      </c>
    </row>
    <row r="44" spans="1:8" x14ac:dyDescent="0.25">
      <c r="A44" s="689"/>
      <c r="B44" s="690" t="s">
        <v>721</v>
      </c>
      <c r="C44" s="691"/>
      <c r="D44" s="691"/>
      <c r="E44" s="688">
        <f>C44+D44</f>
        <v>0</v>
      </c>
      <c r="F44" s="691"/>
      <c r="G44" s="691"/>
      <c r="H44" s="688">
        <f>+E44-F44</f>
        <v>0</v>
      </c>
    </row>
    <row r="45" spans="1:8" x14ac:dyDescent="0.25">
      <c r="A45" s="689"/>
      <c r="B45" s="690" t="s">
        <v>722</v>
      </c>
      <c r="C45" s="691"/>
      <c r="D45" s="691"/>
      <c r="E45" s="688">
        <f>C45+D45</f>
        <v>0</v>
      </c>
      <c r="F45" s="691"/>
      <c r="G45" s="691"/>
      <c r="H45" s="688">
        <f>+E45-F45</f>
        <v>0</v>
      </c>
    </row>
    <row r="46" spans="1:8" x14ac:dyDescent="0.25">
      <c r="A46" s="689"/>
      <c r="B46" s="690"/>
      <c r="C46" s="691"/>
      <c r="D46" s="691"/>
      <c r="E46" s="688"/>
      <c r="F46" s="691"/>
      <c r="G46" s="691"/>
      <c r="H46" s="688"/>
    </row>
    <row r="47" spans="1:8" x14ac:dyDescent="0.25">
      <c r="A47" s="689" t="s">
        <v>723</v>
      </c>
      <c r="B47" s="690"/>
      <c r="C47" s="695">
        <f t="shared" ref="C47:H47" si="10">+C48+C58+C66+C77</f>
        <v>0</v>
      </c>
      <c r="D47" s="695">
        <f t="shared" si="10"/>
        <v>0</v>
      </c>
      <c r="E47" s="695">
        <f t="shared" si="10"/>
        <v>0</v>
      </c>
      <c r="F47" s="695">
        <f t="shared" si="10"/>
        <v>0</v>
      </c>
      <c r="G47" s="695">
        <f t="shared" si="10"/>
        <v>0</v>
      </c>
      <c r="H47" s="695">
        <f t="shared" si="10"/>
        <v>0</v>
      </c>
    </row>
    <row r="48" spans="1:8" x14ac:dyDescent="0.25">
      <c r="A48" s="689" t="s">
        <v>691</v>
      </c>
      <c r="B48" s="690"/>
      <c r="C48" s="695">
        <f t="shared" ref="C48:H48" si="11">SUM(C49:C56)</f>
        <v>0</v>
      </c>
      <c r="D48" s="695">
        <f t="shared" si="11"/>
        <v>0</v>
      </c>
      <c r="E48" s="695">
        <f t="shared" si="11"/>
        <v>0</v>
      </c>
      <c r="F48" s="695">
        <f t="shared" si="11"/>
        <v>0</v>
      </c>
      <c r="G48" s="695">
        <f t="shared" si="11"/>
        <v>0</v>
      </c>
      <c r="H48" s="695">
        <f t="shared" si="11"/>
        <v>0</v>
      </c>
    </row>
    <row r="49" spans="1:8" x14ac:dyDescent="0.25">
      <c r="A49" s="689"/>
      <c r="B49" s="690" t="s">
        <v>692</v>
      </c>
      <c r="C49" s="691"/>
      <c r="D49" s="691"/>
      <c r="E49" s="688">
        <f t="shared" ref="E49:E56" si="12">C49+D49</f>
        <v>0</v>
      </c>
      <c r="F49" s="691"/>
      <c r="G49" s="691"/>
      <c r="H49" s="688">
        <f t="shared" ref="H49:H56" si="13">+E49-F49</f>
        <v>0</v>
      </c>
    </row>
    <row r="50" spans="1:8" x14ac:dyDescent="0.25">
      <c r="A50" s="689"/>
      <c r="B50" s="690" t="s">
        <v>693</v>
      </c>
      <c r="C50" s="691"/>
      <c r="D50" s="691"/>
      <c r="E50" s="688">
        <f t="shared" si="12"/>
        <v>0</v>
      </c>
      <c r="F50" s="691"/>
      <c r="G50" s="691"/>
      <c r="H50" s="688">
        <f t="shared" si="13"/>
        <v>0</v>
      </c>
    </row>
    <row r="51" spans="1:8" x14ac:dyDescent="0.25">
      <c r="A51" s="689"/>
      <c r="B51" s="690" t="s">
        <v>694</v>
      </c>
      <c r="C51" s="691"/>
      <c r="D51" s="691"/>
      <c r="E51" s="688">
        <f t="shared" si="12"/>
        <v>0</v>
      </c>
      <c r="F51" s="691"/>
      <c r="G51" s="691"/>
      <c r="H51" s="688">
        <f t="shared" si="13"/>
        <v>0</v>
      </c>
    </row>
    <row r="52" spans="1:8" x14ac:dyDescent="0.25">
      <c r="A52" s="689"/>
      <c r="B52" s="690" t="s">
        <v>695</v>
      </c>
      <c r="C52" s="691"/>
      <c r="D52" s="691"/>
      <c r="E52" s="688">
        <f t="shared" si="12"/>
        <v>0</v>
      </c>
      <c r="F52" s="691"/>
      <c r="G52" s="691"/>
      <c r="H52" s="688">
        <f t="shared" si="13"/>
        <v>0</v>
      </c>
    </row>
    <row r="53" spans="1:8" x14ac:dyDescent="0.25">
      <c r="A53" s="689"/>
      <c r="B53" s="690" t="s">
        <v>696</v>
      </c>
      <c r="C53" s="691"/>
      <c r="D53" s="691"/>
      <c r="E53" s="688">
        <f t="shared" si="12"/>
        <v>0</v>
      </c>
      <c r="F53" s="691"/>
      <c r="G53" s="691"/>
      <c r="H53" s="688">
        <f t="shared" si="13"/>
        <v>0</v>
      </c>
    </row>
    <row r="54" spans="1:8" x14ac:dyDescent="0.25">
      <c r="A54" s="689"/>
      <c r="B54" s="690" t="s">
        <v>697</v>
      </c>
      <c r="C54" s="691"/>
      <c r="D54" s="691"/>
      <c r="E54" s="688">
        <f t="shared" si="12"/>
        <v>0</v>
      </c>
      <c r="F54" s="691"/>
      <c r="G54" s="691"/>
      <c r="H54" s="688">
        <f t="shared" si="13"/>
        <v>0</v>
      </c>
    </row>
    <row r="55" spans="1:8" x14ac:dyDescent="0.25">
      <c r="A55" s="689"/>
      <c r="B55" s="690" t="s">
        <v>698</v>
      </c>
      <c r="C55" s="691"/>
      <c r="D55" s="691"/>
      <c r="E55" s="688">
        <f t="shared" si="12"/>
        <v>0</v>
      </c>
      <c r="F55" s="691"/>
      <c r="G55" s="691"/>
      <c r="H55" s="688">
        <f t="shared" si="13"/>
        <v>0</v>
      </c>
    </row>
    <row r="56" spans="1:8" x14ac:dyDescent="0.25">
      <c r="A56" s="689"/>
      <c r="B56" s="690" t="s">
        <v>699</v>
      </c>
      <c r="C56" s="691"/>
      <c r="D56" s="691"/>
      <c r="E56" s="688">
        <f t="shared" si="12"/>
        <v>0</v>
      </c>
      <c r="F56" s="691"/>
      <c r="G56" s="691"/>
      <c r="H56" s="688">
        <f t="shared" si="13"/>
        <v>0</v>
      </c>
    </row>
    <row r="57" spans="1:8" x14ac:dyDescent="0.25">
      <c r="A57" s="689"/>
      <c r="B57" s="690"/>
      <c r="C57" s="691"/>
      <c r="D57" s="691"/>
      <c r="E57" s="688"/>
      <c r="F57" s="691"/>
      <c r="G57" s="691"/>
      <c r="H57" s="688"/>
    </row>
    <row r="58" spans="1:8" x14ac:dyDescent="0.25">
      <c r="A58" s="689" t="s">
        <v>700</v>
      </c>
      <c r="B58" s="690"/>
      <c r="C58" s="695">
        <f t="shared" ref="C58:H58" si="14">SUM(C59:C65)</f>
        <v>0</v>
      </c>
      <c r="D58" s="695">
        <f t="shared" si="14"/>
        <v>0</v>
      </c>
      <c r="E58" s="695">
        <f t="shared" si="14"/>
        <v>0</v>
      </c>
      <c r="F58" s="695">
        <f t="shared" si="14"/>
        <v>0</v>
      </c>
      <c r="G58" s="695">
        <f t="shared" si="14"/>
        <v>0</v>
      </c>
      <c r="H58" s="695">
        <f t="shared" si="14"/>
        <v>0</v>
      </c>
    </row>
    <row r="59" spans="1:8" x14ac:dyDescent="0.25">
      <c r="A59" s="689"/>
      <c r="B59" s="690" t="s">
        <v>701</v>
      </c>
      <c r="C59" s="691"/>
      <c r="D59" s="691"/>
      <c r="E59" s="688">
        <f t="shared" ref="E59:E65" si="15">C59+D59</f>
        <v>0</v>
      </c>
      <c r="F59" s="691"/>
      <c r="G59" s="691"/>
      <c r="H59" s="688">
        <f t="shared" ref="H59:H65" si="16">+E59-F59</f>
        <v>0</v>
      </c>
    </row>
    <row r="60" spans="1:8" x14ac:dyDescent="0.25">
      <c r="A60" s="689"/>
      <c r="B60" s="690" t="s">
        <v>702</v>
      </c>
      <c r="C60" s="691"/>
      <c r="D60" s="691"/>
      <c r="E60" s="688">
        <f t="shared" si="15"/>
        <v>0</v>
      </c>
      <c r="F60" s="691"/>
      <c r="G60" s="691"/>
      <c r="H60" s="688">
        <f t="shared" si="16"/>
        <v>0</v>
      </c>
    </row>
    <row r="61" spans="1:8" x14ac:dyDescent="0.25">
      <c r="A61" s="689"/>
      <c r="B61" s="690" t="s">
        <v>703</v>
      </c>
      <c r="C61" s="691"/>
      <c r="D61" s="691"/>
      <c r="E61" s="688">
        <f t="shared" si="15"/>
        <v>0</v>
      </c>
      <c r="F61" s="691"/>
      <c r="G61" s="691"/>
      <c r="H61" s="688">
        <f t="shared" si="16"/>
        <v>0</v>
      </c>
    </row>
    <row r="62" spans="1:8" x14ac:dyDescent="0.25">
      <c r="A62" s="689"/>
      <c r="B62" s="690" t="s">
        <v>704</v>
      </c>
      <c r="C62" s="691"/>
      <c r="D62" s="691"/>
      <c r="E62" s="688">
        <f t="shared" si="15"/>
        <v>0</v>
      </c>
      <c r="F62" s="691"/>
      <c r="G62" s="691"/>
      <c r="H62" s="688">
        <f t="shared" si="16"/>
        <v>0</v>
      </c>
    </row>
    <row r="63" spans="1:8" x14ac:dyDescent="0.25">
      <c r="A63" s="689"/>
      <c r="B63" s="690" t="s">
        <v>705</v>
      </c>
      <c r="C63" s="691"/>
      <c r="D63" s="691"/>
      <c r="E63" s="688">
        <f t="shared" si="15"/>
        <v>0</v>
      </c>
      <c r="F63" s="691"/>
      <c r="G63" s="691"/>
      <c r="H63" s="688">
        <f t="shared" si="16"/>
        <v>0</v>
      </c>
    </row>
    <row r="64" spans="1:8" x14ac:dyDescent="0.25">
      <c r="A64" s="689"/>
      <c r="B64" s="690" t="s">
        <v>706</v>
      </c>
      <c r="C64" s="691"/>
      <c r="D64" s="691"/>
      <c r="E64" s="688">
        <f t="shared" si="15"/>
        <v>0</v>
      </c>
      <c r="F64" s="691"/>
      <c r="G64" s="691"/>
      <c r="H64" s="688">
        <f t="shared" si="16"/>
        <v>0</v>
      </c>
    </row>
    <row r="65" spans="1:8" ht="15.75" thickBot="1" x14ac:dyDescent="0.3">
      <c r="A65" s="697"/>
      <c r="B65" s="698" t="s">
        <v>707</v>
      </c>
      <c r="C65" s="699"/>
      <c r="D65" s="699"/>
      <c r="E65" s="700">
        <f t="shared" si="15"/>
        <v>0</v>
      </c>
      <c r="F65" s="699"/>
      <c r="G65" s="699"/>
      <c r="H65" s="700">
        <f t="shared" si="16"/>
        <v>0</v>
      </c>
    </row>
    <row r="66" spans="1:8" x14ac:dyDescent="0.25">
      <c r="A66" s="689" t="s">
        <v>708</v>
      </c>
      <c r="B66" s="690"/>
      <c r="C66" s="695">
        <f t="shared" ref="C66:H66" si="17">SUM(C67:C75)</f>
        <v>0</v>
      </c>
      <c r="D66" s="695">
        <f t="shared" si="17"/>
        <v>0</v>
      </c>
      <c r="E66" s="695">
        <f t="shared" si="17"/>
        <v>0</v>
      </c>
      <c r="F66" s="695">
        <f t="shared" si="17"/>
        <v>0</v>
      </c>
      <c r="G66" s="695">
        <f t="shared" si="17"/>
        <v>0</v>
      </c>
      <c r="H66" s="695">
        <f t="shared" si="17"/>
        <v>0</v>
      </c>
    </row>
    <row r="67" spans="1:8" x14ac:dyDescent="0.25">
      <c r="A67" s="689"/>
      <c r="B67" s="690" t="s">
        <v>709</v>
      </c>
      <c r="C67" s="691"/>
      <c r="D67" s="691"/>
      <c r="E67" s="688">
        <f t="shared" ref="E67:E75" si="18">C67+D67</f>
        <v>0</v>
      </c>
      <c r="F67" s="691"/>
      <c r="G67" s="691"/>
      <c r="H67" s="688">
        <f t="shared" ref="H67:H75" si="19">+E67-F67</f>
        <v>0</v>
      </c>
    </row>
    <row r="68" spans="1:8" x14ac:dyDescent="0.25">
      <c r="A68" s="689"/>
      <c r="B68" s="690" t="s">
        <v>710</v>
      </c>
      <c r="C68" s="691"/>
      <c r="D68" s="691"/>
      <c r="E68" s="688"/>
      <c r="F68" s="691"/>
      <c r="G68" s="691"/>
      <c r="H68" s="688">
        <f t="shared" si="19"/>
        <v>0</v>
      </c>
    </row>
    <row r="69" spans="1:8" x14ac:dyDescent="0.25">
      <c r="A69" s="689"/>
      <c r="B69" s="690" t="s">
        <v>711</v>
      </c>
      <c r="C69" s="691"/>
      <c r="D69" s="691"/>
      <c r="E69" s="688">
        <f t="shared" si="18"/>
        <v>0</v>
      </c>
      <c r="F69" s="691"/>
      <c r="G69" s="691"/>
      <c r="H69" s="688">
        <f t="shared" si="19"/>
        <v>0</v>
      </c>
    </row>
    <row r="70" spans="1:8" x14ac:dyDescent="0.25">
      <c r="A70" s="689"/>
      <c r="B70" s="690" t="s">
        <v>712</v>
      </c>
      <c r="C70" s="691"/>
      <c r="D70" s="691"/>
      <c r="E70" s="688">
        <f t="shared" si="18"/>
        <v>0</v>
      </c>
      <c r="F70" s="691"/>
      <c r="G70" s="691"/>
      <c r="H70" s="688">
        <f t="shared" si="19"/>
        <v>0</v>
      </c>
    </row>
    <row r="71" spans="1:8" x14ac:dyDescent="0.25">
      <c r="A71" s="689"/>
      <c r="B71" s="690" t="s">
        <v>713</v>
      </c>
      <c r="C71" s="691"/>
      <c r="D71" s="691"/>
      <c r="E71" s="688">
        <f t="shared" si="18"/>
        <v>0</v>
      </c>
      <c r="F71" s="691"/>
      <c r="G71" s="691"/>
      <c r="H71" s="688">
        <f t="shared" si="19"/>
        <v>0</v>
      </c>
    </row>
    <row r="72" spans="1:8" x14ac:dyDescent="0.25">
      <c r="A72" s="689"/>
      <c r="B72" s="690" t="s">
        <v>714</v>
      </c>
      <c r="C72" s="691"/>
      <c r="D72" s="691"/>
      <c r="E72" s="688">
        <f t="shared" si="18"/>
        <v>0</v>
      </c>
      <c r="F72" s="691"/>
      <c r="G72" s="691"/>
      <c r="H72" s="688">
        <f t="shared" si="19"/>
        <v>0</v>
      </c>
    </row>
    <row r="73" spans="1:8" x14ac:dyDescent="0.25">
      <c r="A73" s="689"/>
      <c r="B73" s="690" t="s">
        <v>715</v>
      </c>
      <c r="C73" s="691"/>
      <c r="D73" s="691"/>
      <c r="E73" s="688">
        <f t="shared" si="18"/>
        <v>0</v>
      </c>
      <c r="F73" s="691"/>
      <c r="G73" s="691"/>
      <c r="H73" s="688">
        <f t="shared" si="19"/>
        <v>0</v>
      </c>
    </row>
    <row r="74" spans="1:8" x14ac:dyDescent="0.25">
      <c r="A74" s="689"/>
      <c r="B74" s="690" t="s">
        <v>716</v>
      </c>
      <c r="C74" s="691"/>
      <c r="D74" s="691"/>
      <c r="E74" s="688">
        <f t="shared" si="18"/>
        <v>0</v>
      </c>
      <c r="F74" s="691"/>
      <c r="G74" s="691"/>
      <c r="H74" s="688">
        <f t="shared" si="19"/>
        <v>0</v>
      </c>
    </row>
    <row r="75" spans="1:8" x14ac:dyDescent="0.25">
      <c r="A75" s="689"/>
      <c r="B75" s="690" t="s">
        <v>717</v>
      </c>
      <c r="C75" s="691"/>
      <c r="D75" s="691"/>
      <c r="E75" s="688">
        <f t="shared" si="18"/>
        <v>0</v>
      </c>
      <c r="F75" s="691"/>
      <c r="G75" s="691"/>
      <c r="H75" s="688">
        <f t="shared" si="19"/>
        <v>0</v>
      </c>
    </row>
    <row r="76" spans="1:8" x14ac:dyDescent="0.25">
      <c r="A76" s="689"/>
      <c r="B76" s="690"/>
      <c r="C76" s="691"/>
      <c r="D76" s="691"/>
      <c r="E76" s="688"/>
      <c r="F76" s="691"/>
      <c r="G76" s="691"/>
      <c r="H76" s="688"/>
    </row>
    <row r="77" spans="1:8" x14ac:dyDescent="0.25">
      <c r="A77" s="689" t="s">
        <v>718</v>
      </c>
      <c r="B77" s="690"/>
      <c r="C77" s="695">
        <f t="shared" ref="C77:H77" si="20">SUM(C78:C81)</f>
        <v>0</v>
      </c>
      <c r="D77" s="695">
        <f t="shared" si="20"/>
        <v>0</v>
      </c>
      <c r="E77" s="695">
        <f t="shared" si="20"/>
        <v>0</v>
      </c>
      <c r="F77" s="695">
        <f t="shared" si="20"/>
        <v>0</v>
      </c>
      <c r="G77" s="695">
        <f t="shared" si="20"/>
        <v>0</v>
      </c>
      <c r="H77" s="695">
        <f t="shared" si="20"/>
        <v>0</v>
      </c>
    </row>
    <row r="78" spans="1:8" x14ac:dyDescent="0.25">
      <c r="A78" s="689"/>
      <c r="B78" s="690" t="s">
        <v>719</v>
      </c>
      <c r="C78" s="691">
        <v>0</v>
      </c>
      <c r="D78" s="691"/>
      <c r="E78" s="688">
        <f>C78+D78</f>
        <v>0</v>
      </c>
      <c r="F78" s="691"/>
      <c r="G78" s="691"/>
      <c r="H78" s="688">
        <f>+E78-F78</f>
        <v>0</v>
      </c>
    </row>
    <row r="79" spans="1:8" x14ac:dyDescent="0.25">
      <c r="A79" s="689"/>
      <c r="B79" s="690" t="s">
        <v>720</v>
      </c>
      <c r="C79" s="691">
        <v>0</v>
      </c>
      <c r="D79" s="691"/>
      <c r="E79" s="688">
        <f>C79+D79</f>
        <v>0</v>
      </c>
      <c r="F79" s="691"/>
      <c r="G79" s="691"/>
      <c r="H79" s="688">
        <f>+E79-F79</f>
        <v>0</v>
      </c>
    </row>
    <row r="80" spans="1:8" x14ac:dyDescent="0.25">
      <c r="A80" s="689"/>
      <c r="B80" s="690" t="s">
        <v>721</v>
      </c>
      <c r="C80" s="691">
        <v>0</v>
      </c>
      <c r="D80" s="691"/>
      <c r="E80" s="688">
        <f>C80+D80</f>
        <v>0</v>
      </c>
      <c r="F80" s="691"/>
      <c r="G80" s="691"/>
      <c r="H80" s="688">
        <f>+E80-F80</f>
        <v>0</v>
      </c>
    </row>
    <row r="81" spans="1:9" x14ac:dyDescent="0.25">
      <c r="A81" s="689"/>
      <c r="B81" s="690" t="s">
        <v>722</v>
      </c>
      <c r="C81" s="691"/>
      <c r="D81" s="691"/>
      <c r="E81" s="688">
        <f>C81+D81</f>
        <v>0</v>
      </c>
      <c r="F81" s="691"/>
      <c r="G81" s="691"/>
      <c r="H81" s="688">
        <f>+E81-F81</f>
        <v>0</v>
      </c>
    </row>
    <row r="82" spans="1:9" x14ac:dyDescent="0.25">
      <c r="A82" s="689"/>
      <c r="B82" s="690"/>
      <c r="C82" s="691"/>
      <c r="D82" s="691"/>
      <c r="E82" s="688"/>
      <c r="F82" s="691"/>
      <c r="G82" s="691"/>
      <c r="H82" s="688"/>
    </row>
    <row r="83" spans="1:9" ht="15.75" thickBot="1" x14ac:dyDescent="0.3">
      <c r="A83" s="697" t="s">
        <v>609</v>
      </c>
      <c r="B83" s="698"/>
      <c r="C83" s="712">
        <f t="shared" ref="C83:H83" si="21">+C10+C47</f>
        <v>32253060.079999998</v>
      </c>
      <c r="D83" s="712">
        <f t="shared" si="21"/>
        <v>4996155.3999999994</v>
      </c>
      <c r="E83" s="712">
        <f t="shared" si="21"/>
        <v>37249215.479999997</v>
      </c>
      <c r="F83" s="712">
        <f t="shared" si="21"/>
        <v>34881677.560000002</v>
      </c>
      <c r="G83" s="712">
        <f t="shared" si="21"/>
        <v>33580086.640000001</v>
      </c>
      <c r="H83" s="712">
        <f t="shared" si="21"/>
        <v>2367537.9199999943</v>
      </c>
      <c r="I83" s="482" t="str">
        <f>IF((C83-'CPCA-II-11'!B45)&gt;0.9,"ERROR!!!!! EL MONTO NO COINCIDE CON LO REPORTADO EN EL FORMATO ETCA-II-11 EN EL TOTAL DEL GASTO","")</f>
        <v/>
      </c>
    </row>
    <row r="84" spans="1:9" x14ac:dyDescent="0.25">
      <c r="A84" s="701"/>
      <c r="B84" s="701"/>
      <c r="C84" s="702"/>
      <c r="D84" s="702"/>
      <c r="E84" s="703"/>
      <c r="F84" s="702"/>
      <c r="G84" s="702"/>
      <c r="H84" s="703"/>
      <c r="I84" s="482" t="str">
        <f>IF((D83-'CPCA-II-11'!C45)&gt;0.9,"ERROR!!!!! EL MONTO NO COINCIDE CON LO REPORTADO EN EL FORMATO ETCA-II-11 EN EL TOTAL DEL GASTO","")</f>
        <v/>
      </c>
    </row>
    <row r="85" spans="1:9" x14ac:dyDescent="0.25">
      <c r="A85" s="701"/>
      <c r="B85" s="701"/>
      <c r="C85" s="702"/>
      <c r="D85" s="702"/>
      <c r="E85" s="703"/>
      <c r="F85" s="702"/>
      <c r="G85" s="702"/>
      <c r="H85" s="703"/>
      <c r="I85" t="str">
        <f>IF((E83-'CPCA-II-11'!D45),"ERROR!!!!! EL MONTO NO COINCIDE CON LO REPORTADO EN EL FORMATO ETCA-II-11 EN EL TOTAL DEL GASTO","")</f>
        <v/>
      </c>
    </row>
    <row r="86" spans="1:9" x14ac:dyDescent="0.25">
      <c r="A86" s="701"/>
      <c r="B86" s="701"/>
      <c r="C86" s="702"/>
      <c r="D86" s="702"/>
      <c r="E86" s="703"/>
      <c r="F86" s="702"/>
      <c r="G86" s="702"/>
      <c r="H86" s="703"/>
      <c r="I86" t="str">
        <f>IF((F83-'CPCA-II-11'!E45)&gt;0.9,"ERROR!!!!! EL MONTO NO COINCIDE CON LO REPORTADO EN EL FORMATO ETCA-II-11 EN EL TOTAL DEL GASTO","")</f>
        <v/>
      </c>
    </row>
    <row r="87" spans="1:9" x14ac:dyDescent="0.25">
      <c r="A87" s="701"/>
      <c r="B87" s="701"/>
      <c r="C87" s="702"/>
      <c r="D87" s="702"/>
      <c r="E87" s="703"/>
      <c r="F87" s="702"/>
      <c r="G87" s="702"/>
      <c r="H87" s="703"/>
      <c r="I87" t="str">
        <f>IF((G83-'CPCA-II-11'!F45)&gt;0.9,"ERROR!!!!! EL MONTO NO COINCIDE CON LO REPORTADO EN EL FORMATO ETCA-II-11 EN EL TOTAL DEL GASTO","")</f>
        <v/>
      </c>
    </row>
    <row r="88" spans="1:9" x14ac:dyDescent="0.25">
      <c r="A88" s="701"/>
      <c r="B88" s="701"/>
      <c r="C88" s="702"/>
      <c r="D88" s="702"/>
      <c r="E88" s="703"/>
      <c r="F88" s="702"/>
      <c r="G88" s="702"/>
      <c r="H88" s="703"/>
      <c r="I88" t="str">
        <f>IF((H83-'CPCA-II-11'!G45)&gt;0.9,"ERROR!!!!! EL MONTO NO COINCIDE CON LO REPORTADO EN EL FORMATO ETCA-II-11 EN EL TOTAL DEL GASTO","")</f>
        <v/>
      </c>
    </row>
    <row r="89" spans="1:9" x14ac:dyDescent="0.25">
      <c r="A89" s="701"/>
      <c r="B89" s="701"/>
      <c r="C89" s="702"/>
      <c r="D89" s="702"/>
      <c r="E89" s="703"/>
      <c r="F89" s="702"/>
      <c r="G89" s="702"/>
      <c r="H89" s="703"/>
    </row>
  </sheetData>
  <sheetProtection formatColumns="0" formatRows="0" insertHyperlinks="0"/>
  <mergeCells count="14">
    <mergeCell ref="A7:B8"/>
    <mergeCell ref="C7:G7"/>
    <mergeCell ref="H7:H8"/>
    <mergeCell ref="A1:H1"/>
    <mergeCell ref="A3:H3"/>
    <mergeCell ref="A4:H4"/>
    <mergeCell ref="A5:H5"/>
    <mergeCell ref="A6:H6"/>
    <mergeCell ref="A2:H2"/>
    <mergeCell ref="A9:B9"/>
    <mergeCell ref="A10:B10"/>
    <mergeCell ref="A11:B11"/>
    <mergeCell ref="A21:B21"/>
    <mergeCell ref="A30:B30"/>
  </mergeCells>
  <pageMargins left="0.19685039370078741" right="0.31496062992125984" top="0.74803149606299213" bottom="0.74803149606299213" header="0.31496062992125984" footer="0.31496062992125984"/>
  <pageSetup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showGridLines="0" zoomScaleNormal="100" zoomScaleSheetLayoutView="100" workbookViewId="0">
      <selection activeCell="B6" sqref="B6"/>
    </sheetView>
  </sheetViews>
  <sheetFormatPr baseColWidth="10" defaultColWidth="11.42578125" defaultRowHeight="16.5" x14ac:dyDescent="0.3"/>
  <cols>
    <col min="1" max="1" width="10.42578125" style="1033" customWidth="1"/>
    <col min="2" max="2" width="46.5703125" style="6" customWidth="1"/>
    <col min="3" max="3" width="14.28515625" style="6" customWidth="1"/>
    <col min="4" max="4" width="16.42578125" style="6" customWidth="1"/>
    <col min="5" max="5" width="14.5703125" style="6" customWidth="1"/>
    <col min="6" max="6" width="13.7109375" style="6" customWidth="1"/>
    <col min="7" max="7" width="14.5703125" style="6" customWidth="1"/>
    <col min="8" max="8" width="13.42578125" style="6" customWidth="1"/>
    <col min="9" max="9" width="9.42578125" style="6" customWidth="1"/>
    <col min="10" max="16384" width="11.42578125" style="3"/>
  </cols>
  <sheetData>
    <row r="1" spans="1:9" s="6" customFormat="1" x14ac:dyDescent="0.25">
      <c r="A1" s="1483" t="s">
        <v>1028</v>
      </c>
      <c r="B1" s="1483"/>
      <c r="C1" s="1483"/>
      <c r="D1" s="1483"/>
      <c r="E1" s="1483"/>
      <c r="F1" s="1483"/>
      <c r="G1" s="1483"/>
      <c r="H1" s="1483"/>
      <c r="I1" s="1483"/>
    </row>
    <row r="2" spans="1:9" s="19" customFormat="1" ht="15.75" x14ac:dyDescent="0.25">
      <c r="A2" s="1483" t="s">
        <v>465</v>
      </c>
      <c r="B2" s="1483"/>
      <c r="C2" s="1483"/>
      <c r="D2" s="1483"/>
      <c r="E2" s="1483"/>
      <c r="F2" s="1483"/>
      <c r="G2" s="1483"/>
      <c r="H2" s="1483"/>
      <c r="I2" s="1483"/>
    </row>
    <row r="3" spans="1:9" s="19" customFormat="1" ht="15.75" x14ac:dyDescent="0.25">
      <c r="A3" s="1483" t="s">
        <v>724</v>
      </c>
      <c r="B3" s="1483"/>
      <c r="C3" s="1483"/>
      <c r="D3" s="1483"/>
      <c r="E3" s="1483"/>
      <c r="F3" s="1483"/>
      <c r="G3" s="1483"/>
      <c r="H3" s="1483"/>
      <c r="I3" s="1483"/>
    </row>
    <row r="4" spans="1:9" s="19" customFormat="1" x14ac:dyDescent="0.25">
      <c r="A4" s="1489"/>
      <c r="B4" s="1489"/>
      <c r="C4" s="1489"/>
      <c r="D4" s="1489"/>
      <c r="E4" s="1489"/>
      <c r="F4" s="1489"/>
      <c r="G4" s="1489"/>
      <c r="H4" s="1489"/>
      <c r="I4" s="1489"/>
    </row>
    <row r="5" spans="1:9" s="19" customFormat="1" x14ac:dyDescent="0.25">
      <c r="A5" s="1489" t="str">
        <f>'CPCA-I-03'!A4:D4</f>
        <v>Del 01 de ENERO al 31 de DICIEMBRE de 2024</v>
      </c>
      <c r="B5" s="1489"/>
      <c r="C5" s="1489"/>
      <c r="D5" s="1489"/>
      <c r="E5" s="1489"/>
      <c r="F5" s="1489"/>
      <c r="G5" s="1489"/>
      <c r="H5" s="1489"/>
      <c r="I5" s="1489"/>
    </row>
    <row r="6" spans="1:9" s="20" customFormat="1" ht="17.25" thickBot="1" x14ac:dyDescent="0.3">
      <c r="A6" s="33"/>
      <c r="B6" s="33"/>
      <c r="C6" s="1490" t="s">
        <v>725</v>
      </c>
      <c r="D6" s="1490"/>
      <c r="E6" s="1490"/>
      <c r="F6" s="33"/>
      <c r="G6" s="4"/>
      <c r="H6" s="1491"/>
      <c r="I6" s="1491"/>
    </row>
    <row r="7" spans="1:9" ht="38.25" customHeight="1" x14ac:dyDescent="0.3">
      <c r="A7" s="1485" t="s">
        <v>726</v>
      </c>
      <c r="B7" s="1486"/>
      <c r="C7" s="185" t="s">
        <v>469</v>
      </c>
      <c r="D7" s="185" t="s">
        <v>397</v>
      </c>
      <c r="E7" s="185" t="s">
        <v>470</v>
      </c>
      <c r="F7" s="186" t="s">
        <v>471</v>
      </c>
      <c r="G7" s="186" t="s">
        <v>472</v>
      </c>
      <c r="H7" s="185" t="s">
        <v>473</v>
      </c>
      <c r="I7" s="187" t="s">
        <v>727</v>
      </c>
    </row>
    <row r="8" spans="1:9" ht="18" customHeight="1" thickBot="1" x14ac:dyDescent="0.35">
      <c r="A8" s="1487"/>
      <c r="B8" s="1488"/>
      <c r="C8" s="275" t="s">
        <v>377</v>
      </c>
      <c r="D8" s="275" t="s">
        <v>378</v>
      </c>
      <c r="E8" s="275" t="s">
        <v>474</v>
      </c>
      <c r="F8" s="304" t="s">
        <v>380</v>
      </c>
      <c r="G8" s="304" t="s">
        <v>381</v>
      </c>
      <c r="H8" s="275" t="s">
        <v>475</v>
      </c>
      <c r="I8" s="276" t="s">
        <v>728</v>
      </c>
    </row>
    <row r="9" spans="1:9" ht="2.25" customHeight="1" x14ac:dyDescent="0.3">
      <c r="A9" s="1032"/>
      <c r="B9" s="1003"/>
      <c r="C9" s="1004"/>
      <c r="D9" s="1004"/>
      <c r="E9" s="1004"/>
      <c r="F9" s="1004"/>
      <c r="G9" s="1004"/>
      <c r="H9" s="1004"/>
      <c r="I9" s="1005"/>
    </row>
    <row r="10" spans="1:9" ht="15" customHeight="1" x14ac:dyDescent="0.3">
      <c r="A10" s="1185" t="s">
        <v>2269</v>
      </c>
      <c r="B10" s="1185" t="s">
        <v>1226</v>
      </c>
      <c r="C10" s="1186">
        <v>27044836.079999998</v>
      </c>
      <c r="D10" s="1186">
        <v>1459039.51</v>
      </c>
      <c r="E10" s="1186">
        <v>28503875.59</v>
      </c>
      <c r="F10" s="1186">
        <v>28503875.59</v>
      </c>
      <c r="G10" s="1186">
        <v>27207958.949999999</v>
      </c>
      <c r="H10" s="1195">
        <f>E10-F10</f>
        <v>0</v>
      </c>
      <c r="I10" s="1189">
        <f>F10/E10</f>
        <v>1</v>
      </c>
    </row>
    <row r="11" spans="1:9" ht="15" customHeight="1" x14ac:dyDescent="0.3">
      <c r="A11" s="1187" t="s">
        <v>1260</v>
      </c>
      <c r="B11" s="1187" t="s">
        <v>2122</v>
      </c>
      <c r="C11" s="1184">
        <v>9528095.0500000007</v>
      </c>
      <c r="D11" s="1184">
        <v>453901.74</v>
      </c>
      <c r="E11" s="1184">
        <v>9981996.7899999991</v>
      </c>
      <c r="F11" s="1184">
        <v>9981996.7899999991</v>
      </c>
      <c r="G11" s="1184">
        <v>9981996.7899999991</v>
      </c>
      <c r="H11" s="1196">
        <f t="shared" ref="H11:H74" si="0">E11-F11</f>
        <v>0</v>
      </c>
      <c r="I11" s="1188">
        <f t="shared" ref="I11:I74" si="1">F11/E11</f>
        <v>1</v>
      </c>
    </row>
    <row r="12" spans="1:9" ht="15" customHeight="1" x14ac:dyDescent="0.3">
      <c r="A12" s="1187" t="s">
        <v>1261</v>
      </c>
      <c r="B12" s="1187" t="s">
        <v>2123</v>
      </c>
      <c r="C12" s="1184">
        <v>107640</v>
      </c>
      <c r="D12" s="1184">
        <v>-57135</v>
      </c>
      <c r="E12" s="1184">
        <v>50505</v>
      </c>
      <c r="F12" s="1184">
        <v>50505</v>
      </c>
      <c r="G12" s="1184">
        <v>50505</v>
      </c>
      <c r="H12" s="1196">
        <f t="shared" si="0"/>
        <v>0</v>
      </c>
      <c r="I12" s="1188">
        <f t="shared" si="1"/>
        <v>1</v>
      </c>
    </row>
    <row r="13" spans="1:9" ht="15" customHeight="1" x14ac:dyDescent="0.3">
      <c r="A13" s="1187" t="s">
        <v>1262</v>
      </c>
      <c r="B13" s="1187" t="s">
        <v>2124</v>
      </c>
      <c r="C13" s="1184">
        <v>230313.84</v>
      </c>
      <c r="D13" s="1184">
        <v>-50553.8</v>
      </c>
      <c r="E13" s="1184">
        <v>179760.04</v>
      </c>
      <c r="F13" s="1184">
        <v>179760.04</v>
      </c>
      <c r="G13" s="1184">
        <v>179760.04</v>
      </c>
      <c r="H13" s="1196">
        <f t="shared" si="0"/>
        <v>0</v>
      </c>
      <c r="I13" s="1188">
        <f t="shared" si="1"/>
        <v>1</v>
      </c>
    </row>
    <row r="14" spans="1:9" ht="15" customHeight="1" x14ac:dyDescent="0.3">
      <c r="A14" s="1187" t="s">
        <v>1263</v>
      </c>
      <c r="B14" s="1187" t="s">
        <v>2125</v>
      </c>
      <c r="C14" s="1184">
        <v>2750998.56</v>
      </c>
      <c r="D14" s="1184">
        <v>55602.7</v>
      </c>
      <c r="E14" s="1184">
        <v>2806601.26</v>
      </c>
      <c r="F14" s="1184">
        <v>2806601.26</v>
      </c>
      <c r="G14" s="1184">
        <v>2806601.26</v>
      </c>
      <c r="H14" s="1196">
        <f t="shared" si="0"/>
        <v>0</v>
      </c>
      <c r="I14" s="1188">
        <f t="shared" si="1"/>
        <v>1</v>
      </c>
    </row>
    <row r="15" spans="1:9" ht="15" customHeight="1" x14ac:dyDescent="0.3">
      <c r="A15" s="1187" t="s">
        <v>1264</v>
      </c>
      <c r="B15" s="1187" t="s">
        <v>2233</v>
      </c>
      <c r="C15" s="1184">
        <v>741122.36</v>
      </c>
      <c r="D15" s="1184">
        <v>-324511.64</v>
      </c>
      <c r="E15" s="1184">
        <v>416610.72</v>
      </c>
      <c r="F15" s="1184">
        <v>416610.72</v>
      </c>
      <c r="G15" s="1184">
        <v>416610.72</v>
      </c>
      <c r="H15" s="1196">
        <f t="shared" si="0"/>
        <v>0</v>
      </c>
      <c r="I15" s="1188">
        <f t="shared" si="1"/>
        <v>1</v>
      </c>
    </row>
    <row r="16" spans="1:9" ht="15" customHeight="1" x14ac:dyDescent="0.3">
      <c r="A16" s="1187" t="s">
        <v>1265</v>
      </c>
      <c r="B16" s="1187" t="s">
        <v>2126</v>
      </c>
      <c r="C16" s="1184">
        <v>753134.88</v>
      </c>
      <c r="D16" s="1184">
        <v>118490.92</v>
      </c>
      <c r="E16" s="1184">
        <v>871625.8</v>
      </c>
      <c r="F16" s="1184">
        <v>871625.8</v>
      </c>
      <c r="G16" s="1184">
        <v>871625.8</v>
      </c>
      <c r="H16" s="1196">
        <f t="shared" si="0"/>
        <v>0</v>
      </c>
      <c r="I16" s="1188">
        <f t="shared" si="1"/>
        <v>1</v>
      </c>
    </row>
    <row r="17" spans="1:9" ht="15" customHeight="1" x14ac:dyDescent="0.3">
      <c r="A17" s="1187" t="s">
        <v>1266</v>
      </c>
      <c r="B17" s="1187" t="s">
        <v>2127</v>
      </c>
      <c r="C17" s="1184">
        <v>1617603.1</v>
      </c>
      <c r="D17" s="1184">
        <v>512659.6</v>
      </c>
      <c r="E17" s="1184">
        <v>2130262.7000000002</v>
      </c>
      <c r="F17" s="1184">
        <v>2130262.7000000002</v>
      </c>
      <c r="G17" s="1184">
        <v>2130262.7000000002</v>
      </c>
      <c r="H17" s="1196">
        <f t="shared" si="0"/>
        <v>0</v>
      </c>
      <c r="I17" s="1188">
        <f t="shared" si="1"/>
        <v>1</v>
      </c>
    </row>
    <row r="18" spans="1:9" ht="15" customHeight="1" x14ac:dyDescent="0.3">
      <c r="A18" s="1187" t="s">
        <v>2119</v>
      </c>
      <c r="B18" s="1187" t="s">
        <v>2128</v>
      </c>
      <c r="C18" s="1184">
        <v>188283.71</v>
      </c>
      <c r="D18" s="1184">
        <v>5845.43</v>
      </c>
      <c r="E18" s="1184">
        <v>194129.14</v>
      </c>
      <c r="F18" s="1184">
        <v>194129.14</v>
      </c>
      <c r="G18" s="1184">
        <v>194129.14</v>
      </c>
      <c r="H18" s="1196">
        <f t="shared" si="0"/>
        <v>0</v>
      </c>
      <c r="I18" s="1188">
        <f t="shared" si="1"/>
        <v>1</v>
      </c>
    </row>
    <row r="19" spans="1:9" ht="15" customHeight="1" x14ac:dyDescent="0.3">
      <c r="A19" s="1187" t="s">
        <v>2120</v>
      </c>
      <c r="B19" s="1187" t="s">
        <v>2129</v>
      </c>
      <c r="C19" s="1184">
        <v>188283.71</v>
      </c>
      <c r="D19" s="1184">
        <v>-3439.97</v>
      </c>
      <c r="E19" s="1184">
        <v>184843.74</v>
      </c>
      <c r="F19" s="1184">
        <v>184843.74</v>
      </c>
      <c r="G19" s="1184">
        <v>184843.74</v>
      </c>
      <c r="H19" s="1196">
        <f t="shared" si="0"/>
        <v>0</v>
      </c>
      <c r="I19" s="1188">
        <f t="shared" si="1"/>
        <v>1</v>
      </c>
    </row>
    <row r="20" spans="1:9" ht="15" customHeight="1" x14ac:dyDescent="0.3">
      <c r="A20" s="1187" t="s">
        <v>1267</v>
      </c>
      <c r="B20" s="1187" t="s">
        <v>2130</v>
      </c>
      <c r="C20" s="1184">
        <v>725.04</v>
      </c>
      <c r="D20" s="1184">
        <v>2.2799999999999998</v>
      </c>
      <c r="E20" s="1184">
        <v>727.32</v>
      </c>
      <c r="F20" s="1184">
        <v>727.32</v>
      </c>
      <c r="G20" s="1184">
        <v>727.32</v>
      </c>
      <c r="H20" s="1196">
        <f t="shared" si="0"/>
        <v>0</v>
      </c>
      <c r="I20" s="1188">
        <f t="shared" si="1"/>
        <v>1</v>
      </c>
    </row>
    <row r="21" spans="1:9" ht="15" customHeight="1" x14ac:dyDescent="0.3">
      <c r="A21" s="1187" t="s">
        <v>1268</v>
      </c>
      <c r="B21" s="1187" t="s">
        <v>2131</v>
      </c>
      <c r="C21" s="1184">
        <v>7224.96</v>
      </c>
      <c r="D21" s="1184">
        <v>22.72</v>
      </c>
      <c r="E21" s="1184">
        <v>7247.68</v>
      </c>
      <c r="F21" s="1184">
        <v>7247.68</v>
      </c>
      <c r="G21" s="1184">
        <v>7247.68</v>
      </c>
      <c r="H21" s="1196">
        <f t="shared" si="0"/>
        <v>0</v>
      </c>
      <c r="I21" s="1188">
        <f t="shared" si="1"/>
        <v>1</v>
      </c>
    </row>
    <row r="22" spans="1:9" ht="15" customHeight="1" x14ac:dyDescent="0.3">
      <c r="A22" s="1187" t="s">
        <v>1269</v>
      </c>
      <c r="B22" s="1187" t="s">
        <v>2132</v>
      </c>
      <c r="C22" s="1184">
        <v>78871.92</v>
      </c>
      <c r="D22" s="1184">
        <v>1316.37</v>
      </c>
      <c r="E22" s="1184">
        <v>80188.289999999994</v>
      </c>
      <c r="F22" s="1184">
        <v>80188.289999999994</v>
      </c>
      <c r="G22" s="1184">
        <v>80188.289999999994</v>
      </c>
      <c r="H22" s="1196">
        <f t="shared" si="0"/>
        <v>0</v>
      </c>
      <c r="I22" s="1188">
        <f t="shared" si="1"/>
        <v>1</v>
      </c>
    </row>
    <row r="23" spans="1:9" ht="15" customHeight="1" x14ac:dyDescent="0.3">
      <c r="A23" s="1187" t="s">
        <v>1270</v>
      </c>
      <c r="B23" s="1187" t="s">
        <v>2133</v>
      </c>
      <c r="C23" s="1184">
        <v>473260.79999999999</v>
      </c>
      <c r="D23" s="1184">
        <v>7870.65</v>
      </c>
      <c r="E23" s="1184">
        <v>481131.45</v>
      </c>
      <c r="F23" s="1184">
        <v>481131.45</v>
      </c>
      <c r="G23" s="1184">
        <v>481131.45</v>
      </c>
      <c r="H23" s="1196">
        <f t="shared" si="0"/>
        <v>0</v>
      </c>
      <c r="I23" s="1188">
        <f t="shared" si="1"/>
        <v>1</v>
      </c>
    </row>
    <row r="24" spans="1:9" ht="15" customHeight="1" x14ac:dyDescent="0.3">
      <c r="A24" s="1187" t="s">
        <v>1271</v>
      </c>
      <c r="B24" s="1187" t="s">
        <v>2134</v>
      </c>
      <c r="C24" s="1184">
        <v>157746.72</v>
      </c>
      <c r="D24" s="1184">
        <v>2630.81</v>
      </c>
      <c r="E24" s="1184">
        <v>160377.53</v>
      </c>
      <c r="F24" s="1184">
        <v>160377.53</v>
      </c>
      <c r="G24" s="1184">
        <v>160377.53</v>
      </c>
      <c r="H24" s="1196">
        <f t="shared" si="0"/>
        <v>0</v>
      </c>
      <c r="I24" s="1188">
        <f t="shared" si="1"/>
        <v>1</v>
      </c>
    </row>
    <row r="25" spans="1:9" ht="15" customHeight="1" x14ac:dyDescent="0.3">
      <c r="A25" s="1187" t="s">
        <v>1272</v>
      </c>
      <c r="B25" s="1187" t="s">
        <v>2135</v>
      </c>
      <c r="C25" s="1184">
        <v>311232</v>
      </c>
      <c r="D25" s="1184">
        <v>125203</v>
      </c>
      <c r="E25" s="1184">
        <v>436435</v>
      </c>
      <c r="F25" s="1184">
        <v>436435</v>
      </c>
      <c r="G25" s="1184">
        <v>436435</v>
      </c>
      <c r="H25" s="1196">
        <f t="shared" si="0"/>
        <v>0</v>
      </c>
      <c r="I25" s="1188">
        <f t="shared" si="1"/>
        <v>1</v>
      </c>
    </row>
    <row r="26" spans="1:9" ht="15" customHeight="1" x14ac:dyDescent="0.3">
      <c r="A26" s="1187" t="s">
        <v>1273</v>
      </c>
      <c r="B26" s="1187" t="s">
        <v>2136</v>
      </c>
      <c r="C26" s="1184">
        <v>1340833.44</v>
      </c>
      <c r="D26" s="1184">
        <v>1018699.52</v>
      </c>
      <c r="E26" s="1184">
        <v>2359532.96</v>
      </c>
      <c r="F26" s="1184">
        <v>2359532.96</v>
      </c>
      <c r="G26" s="1184">
        <v>1363205.68</v>
      </c>
      <c r="H26" s="1196">
        <f t="shared" si="0"/>
        <v>0</v>
      </c>
      <c r="I26" s="1188">
        <f t="shared" si="1"/>
        <v>1</v>
      </c>
    </row>
    <row r="27" spans="1:9" ht="15" customHeight="1" x14ac:dyDescent="0.3">
      <c r="A27" s="1187" t="s">
        <v>1274</v>
      </c>
      <c r="B27" s="1187" t="s">
        <v>2137</v>
      </c>
      <c r="C27" s="1184">
        <v>78871.92</v>
      </c>
      <c r="D27" s="1184">
        <v>1316.44</v>
      </c>
      <c r="E27" s="1184">
        <v>80188.36</v>
      </c>
      <c r="F27" s="1184">
        <v>80188.36</v>
      </c>
      <c r="G27" s="1184">
        <v>80188.36</v>
      </c>
      <c r="H27" s="1196">
        <f t="shared" si="0"/>
        <v>0</v>
      </c>
      <c r="I27" s="1188">
        <f t="shared" si="1"/>
        <v>1</v>
      </c>
    </row>
    <row r="28" spans="1:9" ht="15" customHeight="1" x14ac:dyDescent="0.3">
      <c r="A28" s="1187" t="s">
        <v>1275</v>
      </c>
      <c r="B28" s="1187" t="s">
        <v>2234</v>
      </c>
      <c r="C28" s="1184">
        <v>630979.92000000004</v>
      </c>
      <c r="D28" s="1184">
        <v>10528.88</v>
      </c>
      <c r="E28" s="1184">
        <v>641508.80000000005</v>
      </c>
      <c r="F28" s="1184">
        <v>641508.80000000005</v>
      </c>
      <c r="G28" s="1184">
        <v>641508.80000000005</v>
      </c>
      <c r="H28" s="1196">
        <f t="shared" si="0"/>
        <v>0</v>
      </c>
      <c r="I28" s="1188">
        <f t="shared" si="1"/>
        <v>1</v>
      </c>
    </row>
    <row r="29" spans="1:9" ht="15" customHeight="1" x14ac:dyDescent="0.3">
      <c r="A29" s="1187" t="s">
        <v>1276</v>
      </c>
      <c r="B29" s="1187" t="s">
        <v>2138</v>
      </c>
      <c r="C29" s="1184">
        <v>2681669.52</v>
      </c>
      <c r="D29" s="1184">
        <v>44742.84</v>
      </c>
      <c r="E29" s="1184">
        <v>2726412.36</v>
      </c>
      <c r="F29" s="1184">
        <v>2726412.36</v>
      </c>
      <c r="G29" s="1184">
        <v>2726412.36</v>
      </c>
      <c r="H29" s="1196">
        <f t="shared" si="0"/>
        <v>0</v>
      </c>
      <c r="I29" s="1188">
        <f t="shared" si="1"/>
        <v>1</v>
      </c>
    </row>
    <row r="30" spans="1:9" ht="15" customHeight="1" x14ac:dyDescent="0.3">
      <c r="A30" s="1187" t="s">
        <v>1277</v>
      </c>
      <c r="B30" s="1187" t="s">
        <v>2139</v>
      </c>
      <c r="C30" s="1184">
        <v>13992</v>
      </c>
      <c r="D30" s="1184">
        <v>193544</v>
      </c>
      <c r="E30" s="1184">
        <v>207536</v>
      </c>
      <c r="F30" s="1184">
        <v>207536</v>
      </c>
      <c r="G30" s="1184">
        <v>14036</v>
      </c>
      <c r="H30" s="1196">
        <f t="shared" si="0"/>
        <v>0</v>
      </c>
      <c r="I30" s="1188">
        <v>0</v>
      </c>
    </row>
    <row r="31" spans="1:9" ht="15" customHeight="1" x14ac:dyDescent="0.3">
      <c r="A31" s="1187" t="s">
        <v>2229</v>
      </c>
      <c r="B31" s="1187" t="s">
        <v>2235</v>
      </c>
      <c r="C31" s="1184">
        <v>312000</v>
      </c>
      <c r="D31" s="1184">
        <v>-312000</v>
      </c>
      <c r="E31" s="1184">
        <v>0</v>
      </c>
      <c r="F31" s="1184">
        <v>0</v>
      </c>
      <c r="G31" s="1184">
        <v>0</v>
      </c>
      <c r="H31" s="1196">
        <f t="shared" si="0"/>
        <v>0</v>
      </c>
      <c r="I31" s="1188">
        <v>0</v>
      </c>
    </row>
    <row r="32" spans="1:9" ht="15" customHeight="1" x14ac:dyDescent="0.3">
      <c r="A32" s="1187" t="s">
        <v>1278</v>
      </c>
      <c r="B32" s="1187" t="s">
        <v>2140</v>
      </c>
      <c r="C32" s="1184">
        <v>3870</v>
      </c>
      <c r="D32" s="1184">
        <v>-860</v>
      </c>
      <c r="E32" s="1184">
        <v>3010</v>
      </c>
      <c r="F32" s="1184">
        <v>3010</v>
      </c>
      <c r="G32" s="1184">
        <v>3010</v>
      </c>
      <c r="H32" s="1196">
        <f t="shared" si="0"/>
        <v>0</v>
      </c>
      <c r="I32" s="1188">
        <v>0</v>
      </c>
    </row>
    <row r="33" spans="1:9" ht="15" customHeight="1" x14ac:dyDescent="0.3">
      <c r="A33" s="1187" t="s">
        <v>1279</v>
      </c>
      <c r="B33" s="1187" t="s">
        <v>2141</v>
      </c>
      <c r="C33" s="1184">
        <v>32155.68</v>
      </c>
      <c r="D33" s="1184">
        <v>-6181.33</v>
      </c>
      <c r="E33" s="1184">
        <v>25974.35</v>
      </c>
      <c r="F33" s="1184">
        <v>25974.35</v>
      </c>
      <c r="G33" s="1184">
        <v>25974.35</v>
      </c>
      <c r="H33" s="1196">
        <f t="shared" si="0"/>
        <v>0</v>
      </c>
      <c r="I33" s="1188">
        <f t="shared" si="1"/>
        <v>1</v>
      </c>
    </row>
    <row r="34" spans="1:9" ht="15" customHeight="1" x14ac:dyDescent="0.3">
      <c r="A34" s="1187" t="s">
        <v>2246</v>
      </c>
      <c r="B34" s="1187" t="s">
        <v>2247</v>
      </c>
      <c r="C34" s="1184">
        <v>0</v>
      </c>
      <c r="D34" s="1184">
        <v>860080.15</v>
      </c>
      <c r="E34" s="1184">
        <v>860080.15</v>
      </c>
      <c r="F34" s="1184">
        <v>860080.15</v>
      </c>
      <c r="G34" s="1184">
        <v>860080.15</v>
      </c>
      <c r="H34" s="1196">
        <f t="shared" si="0"/>
        <v>0</v>
      </c>
      <c r="I34" s="1188">
        <f t="shared" si="1"/>
        <v>1</v>
      </c>
    </row>
    <row r="35" spans="1:9" ht="15" customHeight="1" x14ac:dyDescent="0.3">
      <c r="A35" s="1187" t="s">
        <v>1280</v>
      </c>
      <c r="B35" s="1187" t="s">
        <v>2142</v>
      </c>
      <c r="C35" s="1184">
        <v>130699.84</v>
      </c>
      <c r="D35" s="1184">
        <v>92560.59</v>
      </c>
      <c r="E35" s="1184">
        <v>223260.43</v>
      </c>
      <c r="F35" s="1184">
        <v>223260.43</v>
      </c>
      <c r="G35" s="1184">
        <v>117171.07</v>
      </c>
      <c r="H35" s="1196">
        <f t="shared" si="0"/>
        <v>0</v>
      </c>
      <c r="I35" s="1188">
        <f t="shared" si="1"/>
        <v>1</v>
      </c>
    </row>
    <row r="36" spans="1:9" ht="15" customHeight="1" x14ac:dyDescent="0.3">
      <c r="A36" s="1187" t="s">
        <v>2193</v>
      </c>
      <c r="B36" s="1187" t="s">
        <v>2143</v>
      </c>
      <c r="C36" s="1184">
        <v>185833.04</v>
      </c>
      <c r="D36" s="1184">
        <v>-58058.57</v>
      </c>
      <c r="E36" s="1184">
        <v>127774.47</v>
      </c>
      <c r="F36" s="1184">
        <v>127774.47</v>
      </c>
      <c r="G36" s="1184">
        <v>127774.47</v>
      </c>
      <c r="H36" s="1196">
        <f t="shared" si="0"/>
        <v>0</v>
      </c>
      <c r="I36" s="1188">
        <f t="shared" si="1"/>
        <v>1</v>
      </c>
    </row>
    <row r="37" spans="1:9" ht="15" customHeight="1" x14ac:dyDescent="0.3">
      <c r="A37" s="1187" t="s">
        <v>1358</v>
      </c>
      <c r="B37" s="1187" t="s">
        <v>2144</v>
      </c>
      <c r="C37" s="1184">
        <v>377280</v>
      </c>
      <c r="D37" s="1184">
        <v>-57640</v>
      </c>
      <c r="E37" s="1184">
        <v>319640</v>
      </c>
      <c r="F37" s="1184">
        <v>319640</v>
      </c>
      <c r="G37" s="1184">
        <v>319640</v>
      </c>
      <c r="H37" s="1196">
        <f t="shared" si="0"/>
        <v>0</v>
      </c>
      <c r="I37" s="1188">
        <f t="shared" si="1"/>
        <v>1</v>
      </c>
    </row>
    <row r="38" spans="1:9" ht="15" customHeight="1" x14ac:dyDescent="0.3">
      <c r="A38" s="1187" t="s">
        <v>1381</v>
      </c>
      <c r="B38" s="1187" t="s">
        <v>2145</v>
      </c>
      <c r="C38" s="1184">
        <v>34800</v>
      </c>
      <c r="D38" s="1184">
        <v>-21300</v>
      </c>
      <c r="E38" s="1184">
        <v>13500</v>
      </c>
      <c r="F38" s="1184">
        <v>13500</v>
      </c>
      <c r="G38" s="1184">
        <v>13500</v>
      </c>
      <c r="H38" s="1196">
        <f t="shared" si="0"/>
        <v>0</v>
      </c>
      <c r="I38" s="1188">
        <f t="shared" si="1"/>
        <v>1</v>
      </c>
    </row>
    <row r="39" spans="1:9" ht="15" customHeight="1" x14ac:dyDescent="0.3">
      <c r="A39" s="1187" t="s">
        <v>1359</v>
      </c>
      <c r="B39" s="1187" t="s">
        <v>2146</v>
      </c>
      <c r="C39" s="1184">
        <v>220608</v>
      </c>
      <c r="D39" s="1184">
        <v>-25748</v>
      </c>
      <c r="E39" s="1184">
        <v>194860</v>
      </c>
      <c r="F39" s="1184">
        <v>194860</v>
      </c>
      <c r="G39" s="1184">
        <v>194860</v>
      </c>
      <c r="H39" s="1196">
        <f t="shared" si="0"/>
        <v>0</v>
      </c>
      <c r="I39" s="1188">
        <f t="shared" si="1"/>
        <v>1</v>
      </c>
    </row>
    <row r="40" spans="1:9" ht="15" customHeight="1" x14ac:dyDescent="0.3">
      <c r="A40" s="1187" t="s">
        <v>1360</v>
      </c>
      <c r="B40" s="1187" t="s">
        <v>2147</v>
      </c>
      <c r="C40" s="1184">
        <v>242784</v>
      </c>
      <c r="D40" s="1184">
        <v>-28434</v>
      </c>
      <c r="E40" s="1184">
        <v>214350</v>
      </c>
      <c r="F40" s="1184">
        <v>214350</v>
      </c>
      <c r="G40" s="1184">
        <v>214350</v>
      </c>
      <c r="H40" s="1196">
        <f t="shared" si="0"/>
        <v>0</v>
      </c>
      <c r="I40" s="1188">
        <f t="shared" si="1"/>
        <v>1</v>
      </c>
    </row>
    <row r="41" spans="1:9" ht="15" customHeight="1" x14ac:dyDescent="0.3">
      <c r="A41" s="1187" t="s">
        <v>1361</v>
      </c>
      <c r="B41" s="1187" t="s">
        <v>2148</v>
      </c>
      <c r="C41" s="1184">
        <v>21360</v>
      </c>
      <c r="D41" s="1184">
        <v>360</v>
      </c>
      <c r="E41" s="1184">
        <v>21720</v>
      </c>
      <c r="F41" s="1184">
        <v>21720</v>
      </c>
      <c r="G41" s="1184">
        <v>21720</v>
      </c>
      <c r="H41" s="1196">
        <f t="shared" si="0"/>
        <v>0</v>
      </c>
      <c r="I41" s="1188">
        <f t="shared" si="1"/>
        <v>1</v>
      </c>
    </row>
    <row r="42" spans="1:9" ht="15" customHeight="1" x14ac:dyDescent="0.3">
      <c r="A42" s="1187" t="s">
        <v>2194</v>
      </c>
      <c r="B42" s="1187" t="s">
        <v>2149</v>
      </c>
      <c r="C42" s="1184">
        <v>30720</v>
      </c>
      <c r="D42" s="1184">
        <v>-21720</v>
      </c>
      <c r="E42" s="1184">
        <v>9000</v>
      </c>
      <c r="F42" s="1184">
        <v>9000</v>
      </c>
      <c r="G42" s="1184">
        <v>9000</v>
      </c>
      <c r="H42" s="1196">
        <f t="shared" si="0"/>
        <v>0</v>
      </c>
      <c r="I42" s="1188">
        <f t="shared" si="1"/>
        <v>1</v>
      </c>
    </row>
    <row r="43" spans="1:9" ht="15" customHeight="1" x14ac:dyDescent="0.3">
      <c r="A43" s="1187" t="s">
        <v>2121</v>
      </c>
      <c r="B43" s="1187" t="s">
        <v>2150</v>
      </c>
      <c r="C43" s="1184">
        <v>17520</v>
      </c>
      <c r="D43" s="1184">
        <v>1480</v>
      </c>
      <c r="E43" s="1184">
        <v>19000</v>
      </c>
      <c r="F43" s="1184">
        <v>19000</v>
      </c>
      <c r="G43" s="1184">
        <v>19000</v>
      </c>
      <c r="H43" s="1196">
        <f t="shared" si="0"/>
        <v>0</v>
      </c>
      <c r="I43" s="1188">
        <f t="shared" si="1"/>
        <v>1</v>
      </c>
    </row>
    <row r="44" spans="1:9" ht="15" customHeight="1" x14ac:dyDescent="0.3">
      <c r="A44" s="1187" t="s">
        <v>1362</v>
      </c>
      <c r="B44" s="1187" t="s">
        <v>2151</v>
      </c>
      <c r="C44" s="1184">
        <v>24000</v>
      </c>
      <c r="D44" s="1184">
        <v>-13500</v>
      </c>
      <c r="E44" s="1184">
        <v>10500</v>
      </c>
      <c r="F44" s="1184">
        <v>10500</v>
      </c>
      <c r="G44" s="1184">
        <v>10500</v>
      </c>
      <c r="H44" s="1196">
        <f t="shared" si="0"/>
        <v>0</v>
      </c>
      <c r="I44" s="1188">
        <f t="shared" si="1"/>
        <v>1</v>
      </c>
    </row>
    <row r="45" spans="1:9" ht="15" customHeight="1" x14ac:dyDescent="0.3">
      <c r="A45" s="1187" t="s">
        <v>1363</v>
      </c>
      <c r="B45" s="1187" t="s">
        <v>2152</v>
      </c>
      <c r="C45" s="1184">
        <v>137376</v>
      </c>
      <c r="D45" s="1184">
        <v>-12096</v>
      </c>
      <c r="E45" s="1184">
        <v>125280</v>
      </c>
      <c r="F45" s="1184">
        <v>125280</v>
      </c>
      <c r="G45" s="1184">
        <v>125280</v>
      </c>
      <c r="H45" s="1196">
        <f t="shared" si="0"/>
        <v>0</v>
      </c>
      <c r="I45" s="1188">
        <f t="shared" si="1"/>
        <v>1</v>
      </c>
    </row>
    <row r="46" spans="1:9" ht="15" customHeight="1" x14ac:dyDescent="0.3">
      <c r="A46" s="1187" t="s">
        <v>1364</v>
      </c>
      <c r="B46" s="1187" t="s">
        <v>2153</v>
      </c>
      <c r="C46" s="1184">
        <v>13560</v>
      </c>
      <c r="D46" s="1184">
        <v>6780</v>
      </c>
      <c r="E46" s="1184">
        <v>20340</v>
      </c>
      <c r="F46" s="1184">
        <v>20340</v>
      </c>
      <c r="G46" s="1184">
        <v>20340</v>
      </c>
      <c r="H46" s="1196">
        <f t="shared" si="0"/>
        <v>0</v>
      </c>
      <c r="I46" s="1188">
        <f t="shared" si="1"/>
        <v>1</v>
      </c>
    </row>
    <row r="47" spans="1:9" ht="15" customHeight="1" x14ac:dyDescent="0.3">
      <c r="A47" s="1187" t="s">
        <v>2195</v>
      </c>
      <c r="B47" s="1187" t="s">
        <v>2154</v>
      </c>
      <c r="C47" s="1184">
        <v>48000</v>
      </c>
      <c r="D47" s="1184">
        <v>-16500</v>
      </c>
      <c r="E47" s="1184">
        <v>31500</v>
      </c>
      <c r="F47" s="1184">
        <v>31500</v>
      </c>
      <c r="G47" s="1184">
        <v>31500</v>
      </c>
      <c r="H47" s="1196">
        <f t="shared" si="0"/>
        <v>0</v>
      </c>
      <c r="I47" s="1188">
        <f t="shared" si="1"/>
        <v>1</v>
      </c>
    </row>
    <row r="48" spans="1:9" ht="15" customHeight="1" x14ac:dyDescent="0.3">
      <c r="A48" s="1187" t="s">
        <v>1281</v>
      </c>
      <c r="B48" s="1187" t="s">
        <v>2155</v>
      </c>
      <c r="C48" s="1184">
        <v>724852.6</v>
      </c>
      <c r="D48" s="1184">
        <v>254555.69</v>
      </c>
      <c r="E48" s="1184">
        <v>979408.29</v>
      </c>
      <c r="F48" s="1184">
        <v>979408.29</v>
      </c>
      <c r="G48" s="1184">
        <v>979408.29</v>
      </c>
      <c r="H48" s="1196">
        <f t="shared" si="0"/>
        <v>0</v>
      </c>
      <c r="I48" s="1188">
        <v>0</v>
      </c>
    </row>
    <row r="49" spans="1:9" ht="15" customHeight="1" x14ac:dyDescent="0.3">
      <c r="A49" s="1187" t="s">
        <v>1282</v>
      </c>
      <c r="B49" s="1187" t="s">
        <v>2156</v>
      </c>
      <c r="C49" s="1184">
        <v>1274812.1100000001</v>
      </c>
      <c r="D49" s="1184">
        <v>-1274812.1100000001</v>
      </c>
      <c r="E49" s="1184">
        <v>0</v>
      </c>
      <c r="F49" s="1184">
        <v>0</v>
      </c>
      <c r="G49" s="1184">
        <v>0</v>
      </c>
      <c r="H49" s="1196">
        <f t="shared" si="0"/>
        <v>0</v>
      </c>
      <c r="I49" s="1188">
        <v>0</v>
      </c>
    </row>
    <row r="50" spans="1:9" ht="15" customHeight="1" x14ac:dyDescent="0.3">
      <c r="A50" s="1187" t="s">
        <v>1283</v>
      </c>
      <c r="B50" s="1187" t="s">
        <v>2157</v>
      </c>
      <c r="C50" s="1184">
        <v>1002000</v>
      </c>
      <c r="D50" s="1184">
        <v>40000</v>
      </c>
      <c r="E50" s="1184">
        <v>1042000</v>
      </c>
      <c r="F50" s="1184">
        <v>1042000</v>
      </c>
      <c r="G50" s="1184">
        <v>1042000</v>
      </c>
      <c r="H50" s="1196">
        <f t="shared" si="0"/>
        <v>0</v>
      </c>
      <c r="I50" s="1188">
        <v>0</v>
      </c>
    </row>
    <row r="51" spans="1:9" ht="15" customHeight="1" x14ac:dyDescent="0.3">
      <c r="A51" s="1187" t="s">
        <v>1382</v>
      </c>
      <c r="B51" s="1187" t="s">
        <v>2158</v>
      </c>
      <c r="C51" s="1184">
        <v>84480</v>
      </c>
      <c r="D51" s="1184">
        <v>-29040</v>
      </c>
      <c r="E51" s="1184">
        <v>55440</v>
      </c>
      <c r="F51" s="1184">
        <v>55440</v>
      </c>
      <c r="G51" s="1184">
        <v>55440</v>
      </c>
      <c r="H51" s="1196">
        <f t="shared" si="0"/>
        <v>0</v>
      </c>
      <c r="I51" s="1188">
        <f t="shared" si="1"/>
        <v>1</v>
      </c>
    </row>
    <row r="52" spans="1:9" ht="15" customHeight="1" x14ac:dyDescent="0.3">
      <c r="A52" s="1187" t="s">
        <v>1365</v>
      </c>
      <c r="B52" s="1187" t="s">
        <v>2159</v>
      </c>
      <c r="C52" s="1184">
        <v>245241.36</v>
      </c>
      <c r="D52" s="1184">
        <v>-35624.400000000001</v>
      </c>
      <c r="E52" s="1184">
        <v>209616.96</v>
      </c>
      <c r="F52" s="1184">
        <v>209616.96</v>
      </c>
      <c r="G52" s="1184">
        <v>209616.96</v>
      </c>
      <c r="H52" s="1196">
        <f t="shared" si="0"/>
        <v>0</v>
      </c>
      <c r="I52" s="1188">
        <f t="shared" si="1"/>
        <v>1</v>
      </c>
    </row>
    <row r="53" spans="1:9" ht="15" customHeight="1" x14ac:dyDescent="0.3">
      <c r="A53" s="1185" t="s">
        <v>1366</v>
      </c>
      <c r="B53" s="1185" t="s">
        <v>1234</v>
      </c>
      <c r="C53" s="1186">
        <v>750000</v>
      </c>
      <c r="D53" s="1186">
        <v>1074023.3700000001</v>
      </c>
      <c r="E53" s="1186">
        <v>1824023.37</v>
      </c>
      <c r="F53" s="1186">
        <v>1845778.03</v>
      </c>
      <c r="G53" s="1186">
        <v>1840103.75</v>
      </c>
      <c r="H53" s="1195">
        <f t="shared" si="0"/>
        <v>-21754.659999999916</v>
      </c>
      <c r="I53" s="1189">
        <f t="shared" si="1"/>
        <v>1.0119267441184154</v>
      </c>
    </row>
    <row r="54" spans="1:9" ht="15" customHeight="1" x14ac:dyDescent="0.3">
      <c r="A54" s="1187" t="s">
        <v>1284</v>
      </c>
      <c r="B54" s="1187" t="s">
        <v>2160</v>
      </c>
      <c r="C54" s="1184">
        <v>105000</v>
      </c>
      <c r="D54" s="1184">
        <v>44997.41</v>
      </c>
      <c r="E54" s="1184">
        <v>149997.41</v>
      </c>
      <c r="F54" s="1184">
        <v>157471.95000000001</v>
      </c>
      <c r="G54" s="1184">
        <v>157471.95000000001</v>
      </c>
      <c r="H54" s="1196">
        <f t="shared" si="0"/>
        <v>-7474.5400000000081</v>
      </c>
      <c r="I54" s="1188">
        <f t="shared" si="1"/>
        <v>1.0498311270841276</v>
      </c>
    </row>
    <row r="55" spans="1:9" ht="15" customHeight="1" x14ac:dyDescent="0.3">
      <c r="A55" s="1187" t="s">
        <v>1285</v>
      </c>
      <c r="B55" s="1187" t="s">
        <v>2161</v>
      </c>
      <c r="C55" s="1184">
        <v>123000</v>
      </c>
      <c r="D55" s="1184">
        <v>65562.28</v>
      </c>
      <c r="E55" s="1184">
        <v>188562.28</v>
      </c>
      <c r="F55" s="1184">
        <v>181696.12</v>
      </c>
      <c r="G55" s="1184">
        <v>181696.12</v>
      </c>
      <c r="H55" s="1196">
        <f t="shared" si="0"/>
        <v>6866.1600000000035</v>
      </c>
      <c r="I55" s="1188">
        <f t="shared" si="1"/>
        <v>0.96358677886160471</v>
      </c>
    </row>
    <row r="56" spans="1:9" ht="15" customHeight="1" x14ac:dyDescent="0.3">
      <c r="A56" s="1187" t="s">
        <v>1286</v>
      </c>
      <c r="B56" s="1187" t="s">
        <v>2162</v>
      </c>
      <c r="C56" s="1184">
        <v>3000</v>
      </c>
      <c r="D56" s="1184">
        <v>36779.699999999997</v>
      </c>
      <c r="E56" s="1184">
        <v>39779.699999999997</v>
      </c>
      <c r="F56" s="1184">
        <v>40529.699999999997</v>
      </c>
      <c r="G56" s="1184">
        <v>40529.699999999997</v>
      </c>
      <c r="H56" s="1196">
        <f t="shared" si="0"/>
        <v>-750</v>
      </c>
      <c r="I56" s="1188">
        <f t="shared" si="1"/>
        <v>1.0188538375100868</v>
      </c>
    </row>
    <row r="57" spans="1:9" ht="15" customHeight="1" x14ac:dyDescent="0.3">
      <c r="A57" s="1187" t="s">
        <v>1287</v>
      </c>
      <c r="B57" s="1187" t="s">
        <v>2163</v>
      </c>
      <c r="C57" s="1184">
        <v>60000</v>
      </c>
      <c r="D57" s="1184">
        <v>-3036.95</v>
      </c>
      <c r="E57" s="1184">
        <v>56963.05</v>
      </c>
      <c r="F57" s="1184">
        <v>60555.81</v>
      </c>
      <c r="G57" s="1184">
        <v>60555.81</v>
      </c>
      <c r="H57" s="1196">
        <f t="shared" si="0"/>
        <v>-3592.7599999999948</v>
      </c>
      <c r="I57" s="1188">
        <f t="shared" si="1"/>
        <v>1.0630717631868376</v>
      </c>
    </row>
    <row r="58" spans="1:9" ht="15" customHeight="1" x14ac:dyDescent="0.3">
      <c r="A58" s="1187" t="s">
        <v>1288</v>
      </c>
      <c r="B58" s="1187" t="s">
        <v>2164</v>
      </c>
      <c r="C58" s="1184">
        <v>25000</v>
      </c>
      <c r="D58" s="1184">
        <v>71651.199999999997</v>
      </c>
      <c r="E58" s="1184">
        <v>96651.199999999997</v>
      </c>
      <c r="F58" s="1184">
        <v>109285.95</v>
      </c>
      <c r="G58" s="1184">
        <v>109285.95</v>
      </c>
      <c r="H58" s="1196">
        <f t="shared" si="0"/>
        <v>-12634.75</v>
      </c>
      <c r="I58" s="1188">
        <f t="shared" si="1"/>
        <v>1.1307252263810486</v>
      </c>
    </row>
    <row r="59" spans="1:9" ht="15" customHeight="1" x14ac:dyDescent="0.3">
      <c r="A59" s="1187" t="s">
        <v>1289</v>
      </c>
      <c r="B59" s="1187" t="s">
        <v>2165</v>
      </c>
      <c r="C59" s="1184">
        <v>15000</v>
      </c>
      <c r="D59" s="1184">
        <v>-579</v>
      </c>
      <c r="E59" s="1184">
        <v>14421</v>
      </c>
      <c r="F59" s="1184">
        <v>14421</v>
      </c>
      <c r="G59" s="1184">
        <v>14421</v>
      </c>
      <c r="H59" s="1196">
        <f t="shared" si="0"/>
        <v>0</v>
      </c>
      <c r="I59" s="1188">
        <f t="shared" si="1"/>
        <v>1</v>
      </c>
    </row>
    <row r="60" spans="1:9" ht="15" customHeight="1" x14ac:dyDescent="0.3">
      <c r="A60" s="1187" t="s">
        <v>2226</v>
      </c>
      <c r="B60" s="1187" t="s">
        <v>2225</v>
      </c>
      <c r="C60" s="1184">
        <v>0</v>
      </c>
      <c r="D60" s="1184">
        <v>161004.87</v>
      </c>
      <c r="E60" s="1184">
        <v>161004.87</v>
      </c>
      <c r="F60" s="1184">
        <v>165274.87</v>
      </c>
      <c r="G60" s="1184">
        <v>165274.87</v>
      </c>
      <c r="H60" s="1196">
        <f t="shared" si="0"/>
        <v>-4270</v>
      </c>
      <c r="I60" s="1188">
        <f t="shared" si="1"/>
        <v>1.0265209369132748</v>
      </c>
    </row>
    <row r="61" spans="1:9" ht="15" customHeight="1" x14ac:dyDescent="0.3">
      <c r="A61" s="1187" t="s">
        <v>2228</v>
      </c>
      <c r="B61" s="1187" t="s">
        <v>2227</v>
      </c>
      <c r="C61" s="1184">
        <v>0</v>
      </c>
      <c r="D61" s="1184">
        <v>101080.17</v>
      </c>
      <c r="E61" s="1184">
        <v>101080.17</v>
      </c>
      <c r="F61" s="1184">
        <v>100056.05</v>
      </c>
      <c r="G61" s="1184">
        <v>100056.05</v>
      </c>
      <c r="H61" s="1196">
        <f t="shared" si="0"/>
        <v>1024.1199999999953</v>
      </c>
      <c r="I61" s="1188">
        <f t="shared" si="1"/>
        <v>0.98986824022951292</v>
      </c>
    </row>
    <row r="62" spans="1:9" ht="15" customHeight="1" x14ac:dyDescent="0.3">
      <c r="A62" s="1187" t="s">
        <v>1290</v>
      </c>
      <c r="B62" s="1187" t="s">
        <v>2166</v>
      </c>
      <c r="C62" s="1184">
        <v>95000</v>
      </c>
      <c r="D62" s="1184">
        <v>343205.13</v>
      </c>
      <c r="E62" s="1184">
        <v>438205.13</v>
      </c>
      <c r="F62" s="1184">
        <v>454221.93</v>
      </c>
      <c r="G62" s="1184">
        <v>454221.93</v>
      </c>
      <c r="H62" s="1196">
        <f t="shared" si="0"/>
        <v>-16016.799999999988</v>
      </c>
      <c r="I62" s="1188">
        <f t="shared" si="1"/>
        <v>1.0365509185161752</v>
      </c>
    </row>
    <row r="63" spans="1:9" ht="15" customHeight="1" x14ac:dyDescent="0.3">
      <c r="A63" s="1187" t="s">
        <v>2283</v>
      </c>
      <c r="B63" s="1187" t="s">
        <v>2284</v>
      </c>
      <c r="C63" s="1184">
        <v>0</v>
      </c>
      <c r="D63" s="1184">
        <v>1786.4</v>
      </c>
      <c r="E63" s="1184">
        <v>1786.4</v>
      </c>
      <c r="F63" s="1184">
        <v>1786.4</v>
      </c>
      <c r="G63" s="1184">
        <v>1786.4</v>
      </c>
      <c r="H63" s="1196">
        <f t="shared" si="0"/>
        <v>0</v>
      </c>
      <c r="I63" s="1188">
        <f t="shared" si="1"/>
        <v>1</v>
      </c>
    </row>
    <row r="64" spans="1:9" ht="15" customHeight="1" x14ac:dyDescent="0.3">
      <c r="A64" s="1187" t="s">
        <v>2261</v>
      </c>
      <c r="B64" s="1187" t="s">
        <v>2262</v>
      </c>
      <c r="C64" s="1184">
        <v>0</v>
      </c>
      <c r="D64" s="1184">
        <v>48092.480000000003</v>
      </c>
      <c r="E64" s="1184">
        <v>48092.480000000003</v>
      </c>
      <c r="F64" s="1184">
        <v>48733.48</v>
      </c>
      <c r="G64" s="1184">
        <v>48733.48</v>
      </c>
      <c r="H64" s="1196">
        <f t="shared" si="0"/>
        <v>-641</v>
      </c>
      <c r="I64" s="1188">
        <f t="shared" si="1"/>
        <v>1.0133284871148254</v>
      </c>
    </row>
    <row r="65" spans="1:9" ht="15" customHeight="1" x14ac:dyDescent="0.3">
      <c r="A65" s="1187" t="s">
        <v>1291</v>
      </c>
      <c r="B65" s="1187" t="s">
        <v>2167</v>
      </c>
      <c r="C65" s="1184">
        <v>150000</v>
      </c>
      <c r="D65" s="1184">
        <v>230248.07</v>
      </c>
      <c r="E65" s="1184">
        <v>380248.07</v>
      </c>
      <c r="F65" s="1184">
        <v>349585.67</v>
      </c>
      <c r="G65" s="1184">
        <v>343911.39</v>
      </c>
      <c r="H65" s="1196">
        <f t="shared" si="0"/>
        <v>30662.400000000023</v>
      </c>
      <c r="I65" s="1188">
        <f t="shared" si="1"/>
        <v>0.91936211536852763</v>
      </c>
    </row>
    <row r="66" spans="1:9" ht="15" customHeight="1" x14ac:dyDescent="0.3">
      <c r="A66" s="1187" t="s">
        <v>2209</v>
      </c>
      <c r="B66" s="1187" t="s">
        <v>2210</v>
      </c>
      <c r="C66" s="1184">
        <v>24000</v>
      </c>
      <c r="D66" s="1184">
        <v>12876.34</v>
      </c>
      <c r="E66" s="1184">
        <v>36876.339999999997</v>
      </c>
      <c r="F66" s="1184">
        <v>36876.339999999997</v>
      </c>
      <c r="G66" s="1184">
        <v>36876.339999999997</v>
      </c>
      <c r="H66" s="1196">
        <f t="shared" si="0"/>
        <v>0</v>
      </c>
      <c r="I66" s="1188">
        <f t="shared" si="1"/>
        <v>1</v>
      </c>
    </row>
    <row r="67" spans="1:9" ht="15" customHeight="1" x14ac:dyDescent="0.3">
      <c r="A67" s="1187" t="s">
        <v>2232</v>
      </c>
      <c r="B67" s="1187" t="s">
        <v>2236</v>
      </c>
      <c r="C67" s="1184">
        <v>0</v>
      </c>
      <c r="D67" s="1184">
        <v>45115.56</v>
      </c>
      <c r="E67" s="1184">
        <v>45115.56</v>
      </c>
      <c r="F67" s="1184">
        <v>48197.84</v>
      </c>
      <c r="G67" s="1184">
        <v>48197.84</v>
      </c>
      <c r="H67" s="1196">
        <f t="shared" si="0"/>
        <v>-3082.2799999999988</v>
      </c>
      <c r="I67" s="1188">
        <f t="shared" si="1"/>
        <v>1.0683196662082881</v>
      </c>
    </row>
    <row r="68" spans="1:9" ht="15" customHeight="1" x14ac:dyDescent="0.3">
      <c r="A68" s="1187" t="s">
        <v>2231</v>
      </c>
      <c r="B68" s="1187" t="s">
        <v>2237</v>
      </c>
      <c r="C68" s="1184">
        <v>25000</v>
      </c>
      <c r="D68" s="1184">
        <v>-14281.21</v>
      </c>
      <c r="E68" s="1184">
        <v>10718.79</v>
      </c>
      <c r="F68" s="1184">
        <v>19760.5</v>
      </c>
      <c r="G68" s="1184">
        <v>19760.5</v>
      </c>
      <c r="H68" s="1196">
        <f t="shared" si="0"/>
        <v>-9041.7099999999991</v>
      </c>
      <c r="I68" s="1188">
        <f t="shared" si="1"/>
        <v>1.8435383098278815</v>
      </c>
    </row>
    <row r="69" spans="1:9" ht="15" customHeight="1" x14ac:dyDescent="0.3">
      <c r="A69" s="1187" t="s">
        <v>2223</v>
      </c>
      <c r="B69" s="1187" t="s">
        <v>2224</v>
      </c>
      <c r="C69" s="1184">
        <v>59000</v>
      </c>
      <c r="D69" s="1184">
        <v>-59000</v>
      </c>
      <c r="E69" s="1184">
        <v>0</v>
      </c>
      <c r="F69" s="1184">
        <v>0</v>
      </c>
      <c r="G69" s="1184">
        <v>0</v>
      </c>
      <c r="H69" s="1196">
        <f t="shared" si="0"/>
        <v>0</v>
      </c>
      <c r="I69" s="1188">
        <v>0</v>
      </c>
    </row>
    <row r="70" spans="1:9" ht="15" customHeight="1" x14ac:dyDescent="0.3">
      <c r="A70" s="1187" t="s">
        <v>1292</v>
      </c>
      <c r="B70" s="1187" t="s">
        <v>2168</v>
      </c>
      <c r="C70" s="1184">
        <v>66000</v>
      </c>
      <c r="D70" s="1184">
        <v>-11479.08</v>
      </c>
      <c r="E70" s="1184">
        <v>54520.92</v>
      </c>
      <c r="F70" s="1184">
        <v>57324.42</v>
      </c>
      <c r="G70" s="1184">
        <v>57324.42</v>
      </c>
      <c r="H70" s="1196">
        <f t="shared" si="0"/>
        <v>-2803.5</v>
      </c>
      <c r="I70" s="1188">
        <f t="shared" si="1"/>
        <v>1.0514206289989236</v>
      </c>
    </row>
    <row r="71" spans="1:9" ht="15" customHeight="1" x14ac:dyDescent="0.3">
      <c r="A71" s="1185" t="s">
        <v>1367</v>
      </c>
      <c r="B71" s="1185" t="s">
        <v>1235</v>
      </c>
      <c r="C71" s="1186">
        <v>3699224</v>
      </c>
      <c r="D71" s="1186">
        <v>1326637.22</v>
      </c>
      <c r="E71" s="1186">
        <v>5025861.22</v>
      </c>
      <c r="F71" s="1186">
        <v>4184734.04</v>
      </c>
      <c r="G71" s="1186">
        <v>4184734.04</v>
      </c>
      <c r="H71" s="1195">
        <f t="shared" si="0"/>
        <v>841127.1799999997</v>
      </c>
      <c r="I71" s="1189">
        <f t="shared" si="1"/>
        <v>0.83264018977428111</v>
      </c>
    </row>
    <row r="72" spans="1:9" ht="15" customHeight="1" x14ac:dyDescent="0.3">
      <c r="A72" s="1187" t="s">
        <v>1293</v>
      </c>
      <c r="B72" s="1187" t="s">
        <v>2169</v>
      </c>
      <c r="C72" s="1184">
        <v>700000</v>
      </c>
      <c r="D72" s="1184">
        <v>-40235</v>
      </c>
      <c r="E72" s="1184">
        <v>659765</v>
      </c>
      <c r="F72" s="1184">
        <v>659765</v>
      </c>
      <c r="G72" s="1184">
        <v>659765</v>
      </c>
      <c r="H72" s="1196">
        <f t="shared" si="0"/>
        <v>0</v>
      </c>
      <c r="I72" s="1188">
        <f t="shared" si="1"/>
        <v>1</v>
      </c>
    </row>
    <row r="73" spans="1:9" ht="15" customHeight="1" x14ac:dyDescent="0.3">
      <c r="A73" s="1187" t="s">
        <v>1294</v>
      </c>
      <c r="B73" s="1187" t="s">
        <v>2170</v>
      </c>
      <c r="C73" s="1184">
        <v>15000</v>
      </c>
      <c r="D73" s="1184">
        <v>6442</v>
      </c>
      <c r="E73" s="1184">
        <v>21442</v>
      </c>
      <c r="F73" s="1184">
        <v>19084</v>
      </c>
      <c r="G73" s="1184">
        <v>19084</v>
      </c>
      <c r="H73" s="1196">
        <f t="shared" si="0"/>
        <v>2358</v>
      </c>
      <c r="I73" s="1188">
        <f t="shared" si="1"/>
        <v>0.8900289152131331</v>
      </c>
    </row>
    <row r="74" spans="1:9" ht="15" customHeight="1" x14ac:dyDescent="0.3">
      <c r="A74" s="1187" t="s">
        <v>1295</v>
      </c>
      <c r="B74" s="1187" t="s">
        <v>2171</v>
      </c>
      <c r="C74" s="1184">
        <v>70000</v>
      </c>
      <c r="D74" s="1184">
        <v>0</v>
      </c>
      <c r="E74" s="1184">
        <v>70000</v>
      </c>
      <c r="F74" s="1184">
        <v>56950.3</v>
      </c>
      <c r="G74" s="1184">
        <v>56950.3</v>
      </c>
      <c r="H74" s="1196">
        <f t="shared" si="0"/>
        <v>13049.699999999997</v>
      </c>
      <c r="I74" s="1188">
        <f t="shared" si="1"/>
        <v>0.81357571428571429</v>
      </c>
    </row>
    <row r="75" spans="1:9" ht="15" customHeight="1" x14ac:dyDescent="0.3">
      <c r="A75" s="1187" t="s">
        <v>1296</v>
      </c>
      <c r="B75" s="1187" t="s">
        <v>2172</v>
      </c>
      <c r="C75" s="1184">
        <v>120000</v>
      </c>
      <c r="D75" s="1184">
        <v>8282.2099999999991</v>
      </c>
      <c r="E75" s="1184">
        <v>128282.21</v>
      </c>
      <c r="F75" s="1184">
        <v>128282.21</v>
      </c>
      <c r="G75" s="1184">
        <v>128282.21</v>
      </c>
      <c r="H75" s="1196">
        <f t="shared" ref="H75:H111" si="2">E75-F75</f>
        <v>0</v>
      </c>
      <c r="I75" s="1188">
        <f t="shared" ref="I75:I111" si="3">F75/E75</f>
        <v>1</v>
      </c>
    </row>
    <row r="76" spans="1:9" ht="15" customHeight="1" x14ac:dyDescent="0.3">
      <c r="A76" s="1187" t="s">
        <v>1297</v>
      </c>
      <c r="B76" s="1187" t="s">
        <v>2173</v>
      </c>
      <c r="C76" s="1184">
        <v>73000</v>
      </c>
      <c r="D76" s="1184">
        <v>7967</v>
      </c>
      <c r="E76" s="1184">
        <v>80967</v>
      </c>
      <c r="F76" s="1184">
        <v>81866.87</v>
      </c>
      <c r="G76" s="1184">
        <v>81866.87</v>
      </c>
      <c r="H76" s="1196">
        <f t="shared" si="2"/>
        <v>-899.86999999999534</v>
      </c>
      <c r="I76" s="1188">
        <f t="shared" si="3"/>
        <v>1.0111140341126632</v>
      </c>
    </row>
    <row r="77" spans="1:9" ht="15" customHeight="1" x14ac:dyDescent="0.3">
      <c r="A77" s="1187" t="s">
        <v>1298</v>
      </c>
      <c r="B77" s="1187" t="s">
        <v>2174</v>
      </c>
      <c r="C77" s="1184">
        <v>3000</v>
      </c>
      <c r="D77" s="1184">
        <v>2498.9699999999998</v>
      </c>
      <c r="E77" s="1184">
        <v>5498.97</v>
      </c>
      <c r="F77" s="1184">
        <v>3783</v>
      </c>
      <c r="G77" s="1184">
        <v>3783</v>
      </c>
      <c r="H77" s="1196">
        <f t="shared" si="2"/>
        <v>1715.9700000000003</v>
      </c>
      <c r="I77" s="1188">
        <f t="shared" si="3"/>
        <v>0.68794701553199955</v>
      </c>
    </row>
    <row r="78" spans="1:9" ht="15" customHeight="1" x14ac:dyDescent="0.3">
      <c r="A78" s="1187" t="s">
        <v>1299</v>
      </c>
      <c r="B78" s="1187" t="s">
        <v>2175</v>
      </c>
      <c r="C78" s="1184">
        <v>55000</v>
      </c>
      <c r="D78" s="1184">
        <v>13557.56</v>
      </c>
      <c r="E78" s="1184">
        <v>68557.56</v>
      </c>
      <c r="F78" s="1184">
        <v>41025.17</v>
      </c>
      <c r="G78" s="1184">
        <v>41025.17</v>
      </c>
      <c r="H78" s="1196">
        <f t="shared" si="2"/>
        <v>27532.39</v>
      </c>
      <c r="I78" s="1188">
        <f t="shared" si="3"/>
        <v>0.59840475652867453</v>
      </c>
    </row>
    <row r="79" spans="1:9" ht="15" customHeight="1" x14ac:dyDescent="0.3">
      <c r="A79" s="1187" t="s">
        <v>2196</v>
      </c>
      <c r="B79" s="1187" t="s">
        <v>2176</v>
      </c>
      <c r="C79" s="1184">
        <v>16000</v>
      </c>
      <c r="D79" s="1184">
        <v>53207.03</v>
      </c>
      <c r="E79" s="1184">
        <v>69207.03</v>
      </c>
      <c r="F79" s="1184">
        <v>69207.03</v>
      </c>
      <c r="G79" s="1184">
        <v>69207.03</v>
      </c>
      <c r="H79" s="1196">
        <f t="shared" si="2"/>
        <v>0</v>
      </c>
      <c r="I79" s="1188">
        <f t="shared" si="3"/>
        <v>1</v>
      </c>
    </row>
    <row r="80" spans="1:9" ht="15" customHeight="1" x14ac:dyDescent="0.3">
      <c r="A80" s="1187" t="s">
        <v>2242</v>
      </c>
      <c r="B80" s="1187" t="s">
        <v>2243</v>
      </c>
      <c r="C80" s="1184">
        <v>0</v>
      </c>
      <c r="D80" s="1184">
        <v>18168</v>
      </c>
      <c r="E80" s="1184">
        <v>18168</v>
      </c>
      <c r="F80" s="1184">
        <v>17472</v>
      </c>
      <c r="G80" s="1184">
        <v>17472</v>
      </c>
      <c r="H80" s="1196">
        <f t="shared" si="2"/>
        <v>696</v>
      </c>
      <c r="I80" s="1188">
        <f t="shared" si="3"/>
        <v>0.96169088507265521</v>
      </c>
    </row>
    <row r="81" spans="1:9" ht="15" customHeight="1" x14ac:dyDescent="0.3">
      <c r="A81" s="1187" t="s">
        <v>2263</v>
      </c>
      <c r="B81" s="1187" t="s">
        <v>2264</v>
      </c>
      <c r="C81" s="1184">
        <v>0</v>
      </c>
      <c r="D81" s="1184">
        <v>6000</v>
      </c>
      <c r="E81" s="1184">
        <v>6000</v>
      </c>
      <c r="F81" s="1184">
        <v>6000</v>
      </c>
      <c r="G81" s="1184">
        <v>6000</v>
      </c>
      <c r="H81" s="1196">
        <f t="shared" si="2"/>
        <v>0</v>
      </c>
      <c r="I81" s="1188">
        <f t="shared" si="3"/>
        <v>1</v>
      </c>
    </row>
    <row r="82" spans="1:9" ht="15" customHeight="1" x14ac:dyDescent="0.3">
      <c r="A82" s="1187" t="s">
        <v>2265</v>
      </c>
      <c r="B82" s="1187" t="s">
        <v>2266</v>
      </c>
      <c r="C82" s="1184">
        <v>0</v>
      </c>
      <c r="D82" s="1184">
        <v>6960</v>
      </c>
      <c r="E82" s="1184">
        <v>6960</v>
      </c>
      <c r="F82" s="1184">
        <v>6960</v>
      </c>
      <c r="G82" s="1184">
        <v>6960</v>
      </c>
      <c r="H82" s="1196">
        <f t="shared" si="2"/>
        <v>0</v>
      </c>
      <c r="I82" s="1188">
        <f t="shared" si="3"/>
        <v>1</v>
      </c>
    </row>
    <row r="83" spans="1:9" ht="15" customHeight="1" x14ac:dyDescent="0.3">
      <c r="A83" s="1187" t="s">
        <v>1300</v>
      </c>
      <c r="B83" s="1187" t="s">
        <v>2177</v>
      </c>
      <c r="C83" s="1184">
        <v>80000</v>
      </c>
      <c r="D83" s="1184">
        <v>28885.32</v>
      </c>
      <c r="E83" s="1184">
        <v>108885.32</v>
      </c>
      <c r="F83" s="1184">
        <v>108885.32</v>
      </c>
      <c r="G83" s="1184">
        <v>108885.32</v>
      </c>
      <c r="H83" s="1196">
        <f t="shared" si="2"/>
        <v>0</v>
      </c>
      <c r="I83" s="1188">
        <f t="shared" si="3"/>
        <v>1</v>
      </c>
    </row>
    <row r="84" spans="1:9" ht="15" customHeight="1" x14ac:dyDescent="0.3">
      <c r="A84" s="1187" t="s">
        <v>1301</v>
      </c>
      <c r="B84" s="1187" t="s">
        <v>2178</v>
      </c>
      <c r="C84" s="1184">
        <v>80000</v>
      </c>
      <c r="D84" s="1184">
        <v>59129.68</v>
      </c>
      <c r="E84" s="1184">
        <v>139129.68</v>
      </c>
      <c r="F84" s="1184">
        <v>77966.2</v>
      </c>
      <c r="G84" s="1184">
        <v>77966.2</v>
      </c>
      <c r="H84" s="1196">
        <f t="shared" si="2"/>
        <v>61163.479999999996</v>
      </c>
      <c r="I84" s="1188">
        <f t="shared" si="3"/>
        <v>0.56038510258918151</v>
      </c>
    </row>
    <row r="85" spans="1:9" ht="15" customHeight="1" x14ac:dyDescent="0.3">
      <c r="A85" s="1187" t="s">
        <v>1302</v>
      </c>
      <c r="B85" s="1187" t="s">
        <v>2179</v>
      </c>
      <c r="C85" s="1184">
        <v>570000</v>
      </c>
      <c r="D85" s="1184">
        <v>-96266.29</v>
      </c>
      <c r="E85" s="1184">
        <v>473733.71</v>
      </c>
      <c r="F85" s="1184">
        <v>473733.71</v>
      </c>
      <c r="G85" s="1184">
        <v>473733.71</v>
      </c>
      <c r="H85" s="1196">
        <f t="shared" si="2"/>
        <v>0</v>
      </c>
      <c r="I85" s="1188">
        <f t="shared" si="3"/>
        <v>1</v>
      </c>
    </row>
    <row r="86" spans="1:9" ht="15" customHeight="1" x14ac:dyDescent="0.3">
      <c r="A86" s="1187" t="s">
        <v>1303</v>
      </c>
      <c r="B86" s="1187" t="s">
        <v>2180</v>
      </c>
      <c r="C86" s="1184">
        <v>25000</v>
      </c>
      <c r="D86" s="1184">
        <v>0</v>
      </c>
      <c r="E86" s="1184">
        <v>25000</v>
      </c>
      <c r="F86" s="1184">
        <v>4825.57</v>
      </c>
      <c r="G86" s="1184">
        <v>4825.57</v>
      </c>
      <c r="H86" s="1196">
        <f t="shared" si="2"/>
        <v>20174.43</v>
      </c>
      <c r="I86" s="1188">
        <f t="shared" si="3"/>
        <v>0.19302279999999999</v>
      </c>
    </row>
    <row r="87" spans="1:9" ht="15" customHeight="1" x14ac:dyDescent="0.3">
      <c r="A87" s="1187" t="s">
        <v>1304</v>
      </c>
      <c r="B87" s="1187" t="s">
        <v>2181</v>
      </c>
      <c r="C87" s="1184">
        <v>85000</v>
      </c>
      <c r="D87" s="1184">
        <v>-37199.81</v>
      </c>
      <c r="E87" s="1184">
        <v>47800.19</v>
      </c>
      <c r="F87" s="1184">
        <v>50958.2</v>
      </c>
      <c r="G87" s="1184">
        <v>50958.2</v>
      </c>
      <c r="H87" s="1196">
        <f t="shared" si="2"/>
        <v>-3158.0099999999948</v>
      </c>
      <c r="I87" s="1188">
        <f t="shared" si="3"/>
        <v>1.0660668922027297</v>
      </c>
    </row>
    <row r="88" spans="1:9" ht="15" customHeight="1" x14ac:dyDescent="0.3">
      <c r="A88" s="1187" t="s">
        <v>2205</v>
      </c>
      <c r="B88" s="1187" t="s">
        <v>2204</v>
      </c>
      <c r="C88" s="1184">
        <v>5000</v>
      </c>
      <c r="D88" s="1184">
        <v>0</v>
      </c>
      <c r="E88" s="1184">
        <v>5000</v>
      </c>
      <c r="F88" s="1184">
        <v>0</v>
      </c>
      <c r="G88" s="1184">
        <v>0</v>
      </c>
      <c r="H88" s="1196">
        <f t="shared" si="2"/>
        <v>5000</v>
      </c>
      <c r="I88" s="1188">
        <f t="shared" si="3"/>
        <v>0</v>
      </c>
    </row>
    <row r="89" spans="1:9" ht="15" customHeight="1" x14ac:dyDescent="0.3">
      <c r="A89" s="1187" t="s">
        <v>1305</v>
      </c>
      <c r="B89" s="1187" t="s">
        <v>2182</v>
      </c>
      <c r="C89" s="1184">
        <v>135000</v>
      </c>
      <c r="D89" s="1184">
        <v>279761.83</v>
      </c>
      <c r="E89" s="1184">
        <v>414761.83</v>
      </c>
      <c r="F89" s="1184">
        <v>393476.41</v>
      </c>
      <c r="G89" s="1184">
        <v>393476.41</v>
      </c>
      <c r="H89" s="1196">
        <f t="shared" si="2"/>
        <v>21285.420000000042</v>
      </c>
      <c r="I89" s="1188">
        <f t="shared" si="3"/>
        <v>0.94868037880920708</v>
      </c>
    </row>
    <row r="90" spans="1:9" ht="15" customHeight="1" x14ac:dyDescent="0.3">
      <c r="A90" s="1187" t="s">
        <v>2206</v>
      </c>
      <c r="B90" s="1187" t="s">
        <v>2207</v>
      </c>
      <c r="C90" s="1184">
        <v>8000</v>
      </c>
      <c r="D90" s="1184">
        <v>8511.5</v>
      </c>
      <c r="E90" s="1184">
        <v>16511.5</v>
      </c>
      <c r="F90" s="1184">
        <v>13586.84</v>
      </c>
      <c r="G90" s="1184">
        <v>13586.84</v>
      </c>
      <c r="H90" s="1196">
        <f t="shared" si="2"/>
        <v>2924.66</v>
      </c>
      <c r="I90" s="1188">
        <f t="shared" si="3"/>
        <v>0.82287133210186836</v>
      </c>
    </row>
    <row r="91" spans="1:9" ht="15" customHeight="1" x14ac:dyDescent="0.3">
      <c r="A91" s="1187" t="s">
        <v>2230</v>
      </c>
      <c r="B91" s="1187" t="s">
        <v>2238</v>
      </c>
      <c r="C91" s="1184">
        <v>69000</v>
      </c>
      <c r="D91" s="1184">
        <v>-38044.25</v>
      </c>
      <c r="E91" s="1184">
        <v>30955.75</v>
      </c>
      <c r="F91" s="1184">
        <v>30955.75</v>
      </c>
      <c r="G91" s="1184">
        <v>30955.75</v>
      </c>
      <c r="H91" s="1196">
        <f t="shared" si="2"/>
        <v>0</v>
      </c>
      <c r="I91" s="1188">
        <f t="shared" si="3"/>
        <v>1</v>
      </c>
    </row>
    <row r="92" spans="1:9" ht="15" customHeight="1" x14ac:dyDescent="0.3">
      <c r="A92" s="1187" t="s">
        <v>2285</v>
      </c>
      <c r="B92" s="1187" t="s">
        <v>2286</v>
      </c>
      <c r="C92" s="1184">
        <v>0</v>
      </c>
      <c r="D92" s="1184">
        <v>1962</v>
      </c>
      <c r="E92" s="1184">
        <v>1962</v>
      </c>
      <c r="F92" s="1184">
        <v>1962</v>
      </c>
      <c r="G92" s="1184">
        <v>1962</v>
      </c>
      <c r="H92" s="1196">
        <f t="shared" si="2"/>
        <v>0</v>
      </c>
      <c r="I92" s="1188">
        <f t="shared" si="3"/>
        <v>1</v>
      </c>
    </row>
    <row r="93" spans="1:9" ht="15" customHeight="1" x14ac:dyDescent="0.3">
      <c r="A93" s="1187" t="s">
        <v>1306</v>
      </c>
      <c r="B93" s="1187" t="s">
        <v>2183</v>
      </c>
      <c r="C93" s="1184">
        <v>180000</v>
      </c>
      <c r="D93" s="1184">
        <v>253473.42</v>
      </c>
      <c r="E93" s="1184">
        <v>433473.42</v>
      </c>
      <c r="F93" s="1184">
        <v>433918.42</v>
      </c>
      <c r="G93" s="1184">
        <v>433918.42</v>
      </c>
      <c r="H93" s="1196">
        <f t="shared" si="2"/>
        <v>-445</v>
      </c>
      <c r="I93" s="1188">
        <f t="shared" si="3"/>
        <v>1.0010265912036775</v>
      </c>
    </row>
    <row r="94" spans="1:9" ht="15" customHeight="1" x14ac:dyDescent="0.3">
      <c r="A94" s="1187" t="s">
        <v>1307</v>
      </c>
      <c r="B94" s="1187" t="s">
        <v>2184</v>
      </c>
      <c r="C94" s="1184">
        <v>90000</v>
      </c>
      <c r="D94" s="1184">
        <v>-62893.25</v>
      </c>
      <c r="E94" s="1184">
        <v>27106.75</v>
      </c>
      <c r="F94" s="1184">
        <v>27106.75</v>
      </c>
      <c r="G94" s="1184">
        <v>27106.75</v>
      </c>
      <c r="H94" s="1196">
        <f t="shared" si="2"/>
        <v>0</v>
      </c>
      <c r="I94" s="1188">
        <f t="shared" si="3"/>
        <v>1</v>
      </c>
    </row>
    <row r="95" spans="1:9" ht="15" customHeight="1" x14ac:dyDescent="0.3">
      <c r="A95" s="1187" t="s">
        <v>1308</v>
      </c>
      <c r="B95" s="1187" t="s">
        <v>2185</v>
      </c>
      <c r="C95" s="1184">
        <v>7000</v>
      </c>
      <c r="D95" s="1184">
        <v>135.87</v>
      </c>
      <c r="E95" s="1184">
        <v>7135.87</v>
      </c>
      <c r="F95" s="1184">
        <v>697</v>
      </c>
      <c r="G95" s="1184">
        <v>697</v>
      </c>
      <c r="H95" s="1196">
        <f t="shared" si="2"/>
        <v>6438.87</v>
      </c>
      <c r="I95" s="1188">
        <f t="shared" si="3"/>
        <v>9.7675546219311737E-2</v>
      </c>
    </row>
    <row r="96" spans="1:9" ht="15" customHeight="1" x14ac:dyDescent="0.3">
      <c r="A96" s="1187" t="s">
        <v>1309</v>
      </c>
      <c r="B96" s="1187" t="s">
        <v>2186</v>
      </c>
      <c r="C96" s="1184">
        <v>15000</v>
      </c>
      <c r="D96" s="1184">
        <v>11120</v>
      </c>
      <c r="E96" s="1184">
        <v>26120</v>
      </c>
      <c r="F96" s="1184">
        <v>11291</v>
      </c>
      <c r="G96" s="1184">
        <v>11291</v>
      </c>
      <c r="H96" s="1196">
        <f t="shared" si="2"/>
        <v>14829</v>
      </c>
      <c r="I96" s="1188">
        <f t="shared" si="3"/>
        <v>0.43227411944869831</v>
      </c>
    </row>
    <row r="97" spans="1:9" ht="15" customHeight="1" x14ac:dyDescent="0.3">
      <c r="A97" s="1187" t="s">
        <v>2201</v>
      </c>
      <c r="B97" s="1187" t="s">
        <v>2200</v>
      </c>
      <c r="C97" s="1184">
        <v>37000</v>
      </c>
      <c r="D97" s="1184">
        <v>77902</v>
      </c>
      <c r="E97" s="1184">
        <v>114902</v>
      </c>
      <c r="F97" s="1184">
        <v>97312</v>
      </c>
      <c r="G97" s="1184">
        <v>97312</v>
      </c>
      <c r="H97" s="1196">
        <f t="shared" si="2"/>
        <v>17590</v>
      </c>
      <c r="I97" s="1188">
        <f t="shared" si="3"/>
        <v>0.84691302153139192</v>
      </c>
    </row>
    <row r="98" spans="1:9" ht="15" customHeight="1" x14ac:dyDescent="0.3">
      <c r="A98" s="1187" t="s">
        <v>1310</v>
      </c>
      <c r="B98" s="1187" t="s">
        <v>2187</v>
      </c>
      <c r="C98" s="1184">
        <v>200000</v>
      </c>
      <c r="D98" s="1184">
        <v>34872</v>
      </c>
      <c r="E98" s="1184">
        <v>234872</v>
      </c>
      <c r="F98" s="1184">
        <v>230772</v>
      </c>
      <c r="G98" s="1184">
        <v>230772</v>
      </c>
      <c r="H98" s="1196">
        <f t="shared" si="2"/>
        <v>4100</v>
      </c>
      <c r="I98" s="1188">
        <f t="shared" si="3"/>
        <v>0.98254368336796216</v>
      </c>
    </row>
    <row r="99" spans="1:9" ht="15" customHeight="1" x14ac:dyDescent="0.3">
      <c r="A99" s="1187" t="s">
        <v>1311</v>
      </c>
      <c r="B99" s="1187" t="s">
        <v>2188</v>
      </c>
      <c r="C99" s="1184">
        <v>72000</v>
      </c>
      <c r="D99" s="1184">
        <v>-7200</v>
      </c>
      <c r="E99" s="1184">
        <v>64800</v>
      </c>
      <c r="F99" s="1184">
        <v>47800</v>
      </c>
      <c r="G99" s="1184">
        <v>47800</v>
      </c>
      <c r="H99" s="1196">
        <f t="shared" si="2"/>
        <v>17000</v>
      </c>
      <c r="I99" s="1188">
        <f t="shared" si="3"/>
        <v>0.73765432098765427</v>
      </c>
    </row>
    <row r="100" spans="1:9" ht="15" customHeight="1" x14ac:dyDescent="0.3">
      <c r="A100" s="1187" t="s">
        <v>2248</v>
      </c>
      <c r="B100" s="1187" t="s">
        <v>2249</v>
      </c>
      <c r="C100" s="1184">
        <v>0</v>
      </c>
      <c r="D100" s="1184">
        <v>44010.47</v>
      </c>
      <c r="E100" s="1184">
        <v>44010.47</v>
      </c>
      <c r="F100" s="1184">
        <v>44010.47</v>
      </c>
      <c r="G100" s="1184">
        <v>44010.47</v>
      </c>
      <c r="H100" s="1196">
        <f t="shared" si="2"/>
        <v>0</v>
      </c>
      <c r="I100" s="1188">
        <f t="shared" si="3"/>
        <v>1</v>
      </c>
    </row>
    <row r="101" spans="1:9" ht="15" customHeight="1" x14ac:dyDescent="0.3">
      <c r="A101" s="1187" t="s">
        <v>2250</v>
      </c>
      <c r="B101" s="1187" t="s">
        <v>2251</v>
      </c>
      <c r="C101" s="1184">
        <v>0</v>
      </c>
      <c r="D101" s="1184">
        <v>214200</v>
      </c>
      <c r="E101" s="1184">
        <v>214200</v>
      </c>
      <c r="F101" s="1184">
        <v>214200</v>
      </c>
      <c r="G101" s="1184">
        <v>214200</v>
      </c>
      <c r="H101" s="1196">
        <f t="shared" si="2"/>
        <v>0</v>
      </c>
      <c r="I101" s="1188">
        <f t="shared" si="3"/>
        <v>1</v>
      </c>
    </row>
    <row r="102" spans="1:9" ht="15" customHeight="1" x14ac:dyDescent="0.3">
      <c r="A102" s="1187" t="s">
        <v>1312</v>
      </c>
      <c r="B102" s="1187" t="s">
        <v>2189</v>
      </c>
      <c r="C102" s="1184">
        <v>20000</v>
      </c>
      <c r="D102" s="1184">
        <v>10548</v>
      </c>
      <c r="E102" s="1184">
        <v>30548</v>
      </c>
      <c r="F102" s="1184">
        <v>27548</v>
      </c>
      <c r="G102" s="1184">
        <v>27548</v>
      </c>
      <c r="H102" s="1196">
        <f t="shared" si="2"/>
        <v>3000</v>
      </c>
      <c r="I102" s="1188">
        <f t="shared" si="3"/>
        <v>0.90179389812753696</v>
      </c>
    </row>
    <row r="103" spans="1:9" ht="15" customHeight="1" x14ac:dyDescent="0.3">
      <c r="A103" s="1187" t="s">
        <v>2213</v>
      </c>
      <c r="B103" s="1187" t="s">
        <v>2212</v>
      </c>
      <c r="C103" s="1184">
        <v>0</v>
      </c>
      <c r="D103" s="1184">
        <v>242461.95</v>
      </c>
      <c r="E103" s="1184">
        <v>242461.95</v>
      </c>
      <c r="F103" s="1184">
        <v>246098.32</v>
      </c>
      <c r="G103" s="1184">
        <v>246098.32</v>
      </c>
      <c r="H103" s="1196">
        <f t="shared" si="2"/>
        <v>-3636.3699999999953</v>
      </c>
      <c r="I103" s="1188">
        <f t="shared" si="3"/>
        <v>1.0149976934525191</v>
      </c>
    </row>
    <row r="104" spans="1:9" ht="15" customHeight="1" x14ac:dyDescent="0.3">
      <c r="A104" s="1187" t="s">
        <v>1313</v>
      </c>
      <c r="B104" s="1187" t="s">
        <v>2190</v>
      </c>
      <c r="C104" s="1184">
        <v>60000</v>
      </c>
      <c r="D104" s="1184">
        <v>14798.5</v>
      </c>
      <c r="E104" s="1184">
        <v>74798.5</v>
      </c>
      <c r="F104" s="1184">
        <v>57957.5</v>
      </c>
      <c r="G104" s="1184">
        <v>57957.5</v>
      </c>
      <c r="H104" s="1196">
        <f t="shared" si="2"/>
        <v>16841</v>
      </c>
      <c r="I104" s="1188">
        <f t="shared" si="3"/>
        <v>0.77484842610480154</v>
      </c>
    </row>
    <row r="105" spans="1:9" ht="15" customHeight="1" x14ac:dyDescent="0.3">
      <c r="A105" s="1187" t="s">
        <v>2197</v>
      </c>
      <c r="B105" s="1187" t="s">
        <v>2191</v>
      </c>
      <c r="C105" s="1184">
        <v>25000</v>
      </c>
      <c r="D105" s="1184">
        <v>0</v>
      </c>
      <c r="E105" s="1184">
        <v>25000</v>
      </c>
      <c r="F105" s="1184">
        <v>632</v>
      </c>
      <c r="G105" s="1184">
        <v>632</v>
      </c>
      <c r="H105" s="1196">
        <f t="shared" si="2"/>
        <v>24368</v>
      </c>
      <c r="I105" s="1188">
        <f t="shared" si="3"/>
        <v>2.528E-2</v>
      </c>
    </row>
    <row r="106" spans="1:9" ht="15" customHeight="1" x14ac:dyDescent="0.3">
      <c r="A106" s="1187" t="s">
        <v>1314</v>
      </c>
      <c r="B106" s="1187" t="s">
        <v>2192</v>
      </c>
      <c r="C106" s="1184">
        <v>884224</v>
      </c>
      <c r="D106" s="1184">
        <v>203620.51</v>
      </c>
      <c r="E106" s="1184">
        <v>1087844.51</v>
      </c>
      <c r="F106" s="1184">
        <v>498645</v>
      </c>
      <c r="G106" s="1184">
        <v>498645</v>
      </c>
      <c r="H106" s="1196">
        <f t="shared" si="2"/>
        <v>589199.51</v>
      </c>
      <c r="I106" s="1188">
        <f t="shared" si="3"/>
        <v>0.45837892770171723</v>
      </c>
    </row>
    <row r="107" spans="1:9" ht="15" customHeight="1" x14ac:dyDescent="0.3">
      <c r="A107" s="1185" t="s">
        <v>2214</v>
      </c>
      <c r="B107" s="1185" t="s">
        <v>2215</v>
      </c>
      <c r="C107" s="1186">
        <v>759000</v>
      </c>
      <c r="D107" s="1186">
        <v>1136455.3</v>
      </c>
      <c r="E107" s="1186">
        <v>1895455.3</v>
      </c>
      <c r="F107" s="1186">
        <v>347289.9</v>
      </c>
      <c r="G107" s="1186">
        <v>347289.9</v>
      </c>
      <c r="H107" s="1195">
        <f t="shared" si="2"/>
        <v>1548165.4</v>
      </c>
      <c r="I107" s="1189">
        <f t="shared" si="3"/>
        <v>0.18322241627117242</v>
      </c>
    </row>
    <row r="108" spans="1:9" ht="15" customHeight="1" x14ac:dyDescent="0.3">
      <c r="A108" s="1187" t="s">
        <v>2217</v>
      </c>
      <c r="B108" s="1187" t="s">
        <v>2216</v>
      </c>
      <c r="C108" s="1184">
        <v>120000</v>
      </c>
      <c r="D108" s="1184">
        <v>-36248.6</v>
      </c>
      <c r="E108" s="1184">
        <v>83751.399999999994</v>
      </c>
      <c r="F108" s="1184">
        <v>98346.4</v>
      </c>
      <c r="G108" s="1184">
        <v>98346.4</v>
      </c>
      <c r="H108" s="1196">
        <f t="shared" si="2"/>
        <v>-14595</v>
      </c>
      <c r="I108" s="1188">
        <f t="shared" si="3"/>
        <v>1.1742657436174202</v>
      </c>
    </row>
    <row r="109" spans="1:9" ht="15" customHeight="1" x14ac:dyDescent="0.3">
      <c r="A109" s="1187" t="s">
        <v>2219</v>
      </c>
      <c r="B109" s="1187" t="s">
        <v>2218</v>
      </c>
      <c r="C109" s="1184">
        <v>485000</v>
      </c>
      <c r="D109" s="1184">
        <v>-327501</v>
      </c>
      <c r="E109" s="1184">
        <v>157499</v>
      </c>
      <c r="F109" s="1184">
        <v>157499</v>
      </c>
      <c r="G109" s="1184">
        <v>157499</v>
      </c>
      <c r="H109" s="1196">
        <f t="shared" si="2"/>
        <v>0</v>
      </c>
      <c r="I109" s="1188">
        <f t="shared" si="3"/>
        <v>1</v>
      </c>
    </row>
    <row r="110" spans="1:9" ht="15" customHeight="1" x14ac:dyDescent="0.3">
      <c r="A110" s="1187" t="s">
        <v>2267</v>
      </c>
      <c r="B110" s="1187" t="s">
        <v>2268</v>
      </c>
      <c r="C110" s="1184">
        <v>0</v>
      </c>
      <c r="D110" s="1184">
        <v>67347.5</v>
      </c>
      <c r="E110" s="1184">
        <v>67347.5</v>
      </c>
      <c r="F110" s="1184">
        <v>67347.5</v>
      </c>
      <c r="G110" s="1184">
        <v>67347.5</v>
      </c>
      <c r="H110" s="1196">
        <f t="shared" si="2"/>
        <v>0</v>
      </c>
      <c r="I110" s="1188">
        <f t="shared" si="3"/>
        <v>1</v>
      </c>
    </row>
    <row r="111" spans="1:9" ht="15" customHeight="1" x14ac:dyDescent="0.3">
      <c r="A111" s="1187" t="s">
        <v>2221</v>
      </c>
      <c r="B111" s="1187" t="s">
        <v>2220</v>
      </c>
      <c r="C111" s="1184">
        <v>154000</v>
      </c>
      <c r="D111" s="1184">
        <v>1432857.4</v>
      </c>
      <c r="E111" s="1184">
        <v>1586857.4</v>
      </c>
      <c r="F111" s="1184">
        <v>24097</v>
      </c>
      <c r="G111" s="1184">
        <v>24097</v>
      </c>
      <c r="H111" s="1196">
        <f t="shared" si="2"/>
        <v>1562760.4</v>
      </c>
      <c r="I111" s="1188">
        <f t="shared" si="3"/>
        <v>1.5185359440615144E-2</v>
      </c>
    </row>
    <row r="112" spans="1:9" x14ac:dyDescent="0.3">
      <c r="A112" s="1197"/>
      <c r="B112" s="1198"/>
      <c r="C112" s="1194">
        <f>C10+C53+C71+C107</f>
        <v>32253060.079999998</v>
      </c>
      <c r="D112" s="1194">
        <f t="shared" ref="D112:H112" si="4">D10+D53+D71+D107</f>
        <v>4996155.3999999994</v>
      </c>
      <c r="E112" s="1194">
        <f t="shared" si="4"/>
        <v>37249215.479999997</v>
      </c>
      <c r="F112" s="1194">
        <f t="shared" si="4"/>
        <v>34881677.560000002</v>
      </c>
      <c r="G112" s="1194">
        <f t="shared" si="4"/>
        <v>33580086.640000001</v>
      </c>
      <c r="H112" s="1194">
        <f t="shared" si="4"/>
        <v>2367537.92</v>
      </c>
      <c r="I112" s="1199">
        <f t="shared" ref="I112" si="5">F112/E112</f>
        <v>0.93644059641279742</v>
      </c>
    </row>
  </sheetData>
  <mergeCells count="8">
    <mergeCell ref="A7:B8"/>
    <mergeCell ref="A1:I1"/>
    <mergeCell ref="A2:I2"/>
    <mergeCell ref="A3:I3"/>
    <mergeCell ref="A4:I4"/>
    <mergeCell ref="A5:I5"/>
    <mergeCell ref="C6:E6"/>
    <mergeCell ref="H6:I6"/>
  </mergeCells>
  <printOptions horizontalCentered="1"/>
  <pageMargins left="0.39370078740157483" right="0.39370078740157483" top="0.59055118110236227" bottom="0.59055118110236227" header="0.31496062992125984" footer="0.15748031496062992"/>
  <pageSetup scale="64"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view="pageBreakPreview" zoomScale="136" zoomScaleNormal="100" zoomScaleSheetLayoutView="136" workbookViewId="0">
      <selection activeCell="E10" sqref="E10"/>
    </sheetView>
  </sheetViews>
  <sheetFormatPr baseColWidth="10" defaultColWidth="11.42578125" defaultRowHeight="15" x14ac:dyDescent="0.25"/>
  <cols>
    <col min="1" max="1" width="32.140625" customWidth="1"/>
    <col min="2" max="2" width="13.85546875" bestFit="1" customWidth="1"/>
    <col min="3" max="3" width="13" customWidth="1"/>
  </cols>
  <sheetData>
    <row r="1" spans="1:9" ht="15.75" x14ac:dyDescent="0.25">
      <c r="A1" s="1499" t="s">
        <v>1028</v>
      </c>
      <c r="B1" s="1499"/>
      <c r="C1" s="1499"/>
      <c r="D1" s="1499"/>
      <c r="E1" s="1499"/>
      <c r="F1" s="1499"/>
      <c r="G1" s="1499"/>
      <c r="H1" s="616"/>
      <c r="I1" s="616"/>
    </row>
    <row r="2" spans="1:9" ht="15.75" customHeight="1" x14ac:dyDescent="0.25">
      <c r="A2" s="1208" t="s">
        <v>729</v>
      </c>
      <c r="B2" s="1208"/>
      <c r="C2" s="1208"/>
      <c r="D2" s="1208"/>
      <c r="E2" s="1208"/>
      <c r="F2" s="1208"/>
      <c r="G2" s="1208"/>
      <c r="H2" s="617"/>
      <c r="I2" s="617"/>
    </row>
    <row r="3" spans="1:9" ht="15.75" customHeight="1" x14ac:dyDescent="0.25">
      <c r="A3" s="1208" t="s">
        <v>730</v>
      </c>
      <c r="B3" s="1208"/>
      <c r="C3" s="1208"/>
      <c r="D3" s="1208"/>
      <c r="E3" s="1208"/>
      <c r="F3" s="1208"/>
      <c r="G3" s="1208"/>
      <c r="H3" s="617"/>
      <c r="I3" s="617"/>
    </row>
    <row r="4" spans="1:9" ht="16.5" customHeight="1" x14ac:dyDescent="0.25">
      <c r="A4" s="1208"/>
      <c r="B4" s="1208"/>
      <c r="C4" s="1208"/>
      <c r="D4" s="1208"/>
      <c r="E4" s="1208"/>
      <c r="F4" s="1208"/>
      <c r="G4" s="1208"/>
      <c r="H4" s="617"/>
      <c r="I4" s="617"/>
    </row>
    <row r="5" spans="1:9" ht="15.75" customHeight="1" x14ac:dyDescent="0.25">
      <c r="A5" s="1500" t="str">
        <f>'CPCA-I-03'!A4:D4</f>
        <v>Del 01 de ENERO al 31 de DICIEMBRE de 2024</v>
      </c>
      <c r="B5" s="1500"/>
      <c r="C5" s="1500"/>
      <c r="D5" s="1500"/>
      <c r="E5" s="1500"/>
      <c r="F5" s="1500"/>
      <c r="G5" s="1500"/>
      <c r="H5" s="618"/>
      <c r="I5" s="618"/>
    </row>
    <row r="6" spans="1:9" ht="15.75" customHeight="1" thickBot="1" x14ac:dyDescent="0.3">
      <c r="A6" s="1255" t="s">
        <v>84</v>
      </c>
      <c r="B6" s="1255"/>
      <c r="C6" s="1255"/>
      <c r="D6" s="1255"/>
      <c r="E6" s="1255"/>
      <c r="F6" s="1255"/>
      <c r="G6" s="1255"/>
      <c r="H6" s="619"/>
      <c r="I6" s="619"/>
    </row>
    <row r="7" spans="1:9" ht="15.75" thickBot="1" x14ac:dyDescent="0.3">
      <c r="A7" s="1492" t="s">
        <v>85</v>
      </c>
      <c r="B7" s="1494" t="s">
        <v>528</v>
      </c>
      <c r="C7" s="1495"/>
      <c r="D7" s="1495"/>
      <c r="E7" s="1495"/>
      <c r="F7" s="1496"/>
      <c r="G7" s="1497" t="s">
        <v>529</v>
      </c>
    </row>
    <row r="8" spans="1:9" ht="20.25" thickBot="1" x14ac:dyDescent="0.3">
      <c r="A8" s="1493"/>
      <c r="B8" s="593" t="s">
        <v>530</v>
      </c>
      <c r="C8" s="593" t="s">
        <v>531</v>
      </c>
      <c r="D8" s="593" t="s">
        <v>532</v>
      </c>
      <c r="E8" s="593" t="s">
        <v>731</v>
      </c>
      <c r="F8" s="593" t="s">
        <v>630</v>
      </c>
      <c r="G8" s="1498"/>
    </row>
    <row r="9" spans="1:9" ht="19.5" x14ac:dyDescent="0.25">
      <c r="A9" s="610" t="s">
        <v>732</v>
      </c>
      <c r="B9" s="675">
        <f t="shared" ref="B9:G9" si="0">B10+B11+B12+B13+B14+B15+B16+B19</f>
        <v>27044836.079999998</v>
      </c>
      <c r="C9" s="675">
        <f t="shared" si="0"/>
        <v>1459039.51</v>
      </c>
      <c r="D9" s="675">
        <f t="shared" si="0"/>
        <v>28503875.59</v>
      </c>
      <c r="E9" s="675">
        <f t="shared" si="0"/>
        <v>28503875.590000004</v>
      </c>
      <c r="F9" s="675">
        <f t="shared" si="0"/>
        <v>27207958.950000003</v>
      </c>
      <c r="G9" s="675">
        <f t="shared" si="0"/>
        <v>0</v>
      </c>
    </row>
    <row r="10" spans="1:9" ht="19.5" x14ac:dyDescent="0.25">
      <c r="A10" s="611" t="s">
        <v>733</v>
      </c>
      <c r="B10" s="677">
        <f>'CPCA-II-05'!C11</f>
        <v>27044836.079999998</v>
      </c>
      <c r="C10" s="677">
        <f>'CPCA-II-05'!D11</f>
        <v>1459039.51</v>
      </c>
      <c r="D10" s="676">
        <f>B10+C10</f>
        <v>28503875.59</v>
      </c>
      <c r="E10" s="677">
        <f>'CPCA-II-05'!F11</f>
        <v>28503875.590000004</v>
      </c>
      <c r="F10" s="677">
        <f>'CPCA-II-05'!G11</f>
        <v>27207958.950000003</v>
      </c>
      <c r="G10" s="676">
        <f t="shared" ref="G10:G15" si="1">D10-E10</f>
        <v>0</v>
      </c>
    </row>
    <row r="11" spans="1:9" x14ac:dyDescent="0.25">
      <c r="A11" s="611" t="s">
        <v>734</v>
      </c>
      <c r="B11" s="677"/>
      <c r="C11" s="678"/>
      <c r="D11" s="676">
        <f t="shared" ref="D11:D19" si="2">B11+C11</f>
        <v>0</v>
      </c>
      <c r="E11" s="678"/>
      <c r="F11" s="678"/>
      <c r="G11" s="676">
        <f t="shared" si="1"/>
        <v>0</v>
      </c>
    </row>
    <row r="12" spans="1:9" x14ac:dyDescent="0.25">
      <c r="A12" s="611" t="s">
        <v>735</v>
      </c>
      <c r="B12" s="677"/>
      <c r="C12" s="678"/>
      <c r="D12" s="676">
        <f t="shared" si="2"/>
        <v>0</v>
      </c>
      <c r="E12" s="678"/>
      <c r="F12" s="678"/>
      <c r="G12" s="676">
        <f t="shared" si="1"/>
        <v>0</v>
      </c>
    </row>
    <row r="13" spans="1:9" x14ac:dyDescent="0.25">
      <c r="A13" s="611" t="s">
        <v>736</v>
      </c>
      <c r="B13" s="677"/>
      <c r="C13" s="678"/>
      <c r="D13" s="676">
        <f t="shared" si="2"/>
        <v>0</v>
      </c>
      <c r="E13" s="678"/>
      <c r="F13" s="678"/>
      <c r="G13" s="676">
        <f t="shared" si="1"/>
        <v>0</v>
      </c>
    </row>
    <row r="14" spans="1:9" x14ac:dyDescent="0.25">
      <c r="A14" s="611" t="s">
        <v>737</v>
      </c>
      <c r="B14" s="677"/>
      <c r="C14" s="678"/>
      <c r="D14" s="676">
        <f t="shared" si="2"/>
        <v>0</v>
      </c>
      <c r="E14" s="678"/>
      <c r="F14" s="678"/>
      <c r="G14" s="676">
        <f t="shared" si="1"/>
        <v>0</v>
      </c>
    </row>
    <row r="15" spans="1:9" x14ac:dyDescent="0.25">
      <c r="A15" s="611" t="s">
        <v>738</v>
      </c>
      <c r="B15" s="677"/>
      <c r="C15" s="678"/>
      <c r="D15" s="676">
        <f t="shared" si="2"/>
        <v>0</v>
      </c>
      <c r="E15" s="678"/>
      <c r="F15" s="678"/>
      <c r="G15" s="676">
        <f t="shared" si="1"/>
        <v>0</v>
      </c>
    </row>
    <row r="16" spans="1:9" ht="29.25" x14ac:dyDescent="0.25">
      <c r="A16" s="611" t="s">
        <v>739</v>
      </c>
      <c r="B16" s="675">
        <f t="shared" ref="B16:G16" si="3">B17+B18</f>
        <v>0</v>
      </c>
      <c r="C16" s="675">
        <f t="shared" si="3"/>
        <v>0</v>
      </c>
      <c r="D16" s="675">
        <f t="shared" si="3"/>
        <v>0</v>
      </c>
      <c r="E16" s="675">
        <f t="shared" si="3"/>
        <v>0</v>
      </c>
      <c r="F16" s="675">
        <f t="shared" si="3"/>
        <v>0</v>
      </c>
      <c r="G16" s="675">
        <f t="shared" si="3"/>
        <v>0</v>
      </c>
    </row>
    <row r="17" spans="1:7" x14ac:dyDescent="0.25">
      <c r="A17" s="612" t="s">
        <v>740</v>
      </c>
      <c r="B17" s="677"/>
      <c r="C17" s="678"/>
      <c r="D17" s="676">
        <f t="shared" si="2"/>
        <v>0</v>
      </c>
      <c r="E17" s="678"/>
      <c r="F17" s="678"/>
      <c r="G17" s="676">
        <f>D17-E17</f>
        <v>0</v>
      </c>
    </row>
    <row r="18" spans="1:7" x14ac:dyDescent="0.25">
      <c r="A18" s="612" t="s">
        <v>741</v>
      </c>
      <c r="B18" s="677"/>
      <c r="C18" s="678"/>
      <c r="D18" s="676">
        <f t="shared" si="2"/>
        <v>0</v>
      </c>
      <c r="E18" s="678"/>
      <c r="F18" s="678"/>
      <c r="G18" s="676">
        <f>D18-E18</f>
        <v>0</v>
      </c>
    </row>
    <row r="19" spans="1:7" x14ac:dyDescent="0.25">
      <c r="A19" s="611" t="s">
        <v>742</v>
      </c>
      <c r="B19" s="677"/>
      <c r="C19" s="678"/>
      <c r="D19" s="676">
        <f t="shared" si="2"/>
        <v>0</v>
      </c>
      <c r="E19" s="678"/>
      <c r="F19" s="678"/>
      <c r="G19" s="676">
        <f>D19-E19</f>
        <v>0</v>
      </c>
    </row>
    <row r="20" spans="1:7" x14ac:dyDescent="0.25">
      <c r="A20" s="611"/>
      <c r="B20" s="675"/>
      <c r="C20" s="676"/>
      <c r="D20" s="676"/>
      <c r="E20" s="676"/>
      <c r="F20" s="676"/>
      <c r="G20" s="676"/>
    </row>
    <row r="21" spans="1:7" ht="19.5" x14ac:dyDescent="0.25">
      <c r="A21" s="610" t="s">
        <v>743</v>
      </c>
      <c r="B21" s="675">
        <f t="shared" ref="B21:G21" si="4">B22+B23+B24+B25+B26+B27+B28+B31</f>
        <v>0</v>
      </c>
      <c r="C21" s="675">
        <f t="shared" si="4"/>
        <v>0</v>
      </c>
      <c r="D21" s="675">
        <f t="shared" si="4"/>
        <v>0</v>
      </c>
      <c r="E21" s="675">
        <f t="shared" si="4"/>
        <v>0</v>
      </c>
      <c r="F21" s="675">
        <f t="shared" si="4"/>
        <v>0</v>
      </c>
      <c r="G21" s="675">
        <f t="shared" si="4"/>
        <v>0</v>
      </c>
    </row>
    <row r="22" spans="1:7" ht="19.5" x14ac:dyDescent="0.25">
      <c r="A22" s="611" t="s">
        <v>733</v>
      </c>
      <c r="B22" s="677"/>
      <c r="C22" s="678"/>
      <c r="D22" s="676">
        <f t="shared" ref="D22:D27" si="5">B22+C22</f>
        <v>0</v>
      </c>
      <c r="E22" s="678"/>
      <c r="F22" s="678"/>
      <c r="G22" s="676">
        <f t="shared" ref="G22:G27" si="6">D22-E22</f>
        <v>0</v>
      </c>
    </row>
    <row r="23" spans="1:7" x14ac:dyDescent="0.25">
      <c r="A23" s="611" t="s">
        <v>734</v>
      </c>
      <c r="B23" s="677"/>
      <c r="C23" s="678"/>
      <c r="D23" s="676">
        <f t="shared" si="5"/>
        <v>0</v>
      </c>
      <c r="E23" s="678"/>
      <c r="F23" s="678"/>
      <c r="G23" s="676">
        <f t="shared" si="6"/>
        <v>0</v>
      </c>
    </row>
    <row r="24" spans="1:7" x14ac:dyDescent="0.25">
      <c r="A24" s="611" t="s">
        <v>735</v>
      </c>
      <c r="B24" s="677"/>
      <c r="C24" s="678"/>
      <c r="D24" s="676">
        <f t="shared" si="5"/>
        <v>0</v>
      </c>
      <c r="E24" s="678"/>
      <c r="F24" s="678"/>
      <c r="G24" s="676">
        <f t="shared" si="6"/>
        <v>0</v>
      </c>
    </row>
    <row r="25" spans="1:7" x14ac:dyDescent="0.25">
      <c r="A25" s="611" t="s">
        <v>736</v>
      </c>
      <c r="B25" s="677"/>
      <c r="C25" s="678"/>
      <c r="D25" s="676">
        <f t="shared" si="5"/>
        <v>0</v>
      </c>
      <c r="E25" s="678"/>
      <c r="F25" s="678"/>
      <c r="G25" s="676">
        <f t="shared" si="6"/>
        <v>0</v>
      </c>
    </row>
    <row r="26" spans="1:7" x14ac:dyDescent="0.25">
      <c r="A26" s="611" t="s">
        <v>737</v>
      </c>
      <c r="B26" s="677"/>
      <c r="C26" s="678"/>
      <c r="D26" s="676">
        <f t="shared" si="5"/>
        <v>0</v>
      </c>
      <c r="E26" s="678"/>
      <c r="F26" s="678"/>
      <c r="G26" s="676">
        <f t="shared" si="6"/>
        <v>0</v>
      </c>
    </row>
    <row r="27" spans="1:7" x14ac:dyDescent="0.25">
      <c r="A27" s="611" t="s">
        <v>738</v>
      </c>
      <c r="B27" s="677"/>
      <c r="C27" s="678"/>
      <c r="D27" s="676">
        <f t="shared" si="5"/>
        <v>0</v>
      </c>
      <c r="E27" s="678"/>
      <c r="F27" s="678"/>
      <c r="G27" s="676">
        <f t="shared" si="6"/>
        <v>0</v>
      </c>
    </row>
    <row r="28" spans="1:7" ht="29.25" x14ac:dyDescent="0.25">
      <c r="A28" s="611" t="s">
        <v>739</v>
      </c>
      <c r="B28" s="675">
        <f t="shared" ref="B28:G28" si="7">B29+B30</f>
        <v>0</v>
      </c>
      <c r="C28" s="675">
        <f t="shared" si="7"/>
        <v>0</v>
      </c>
      <c r="D28" s="675">
        <f t="shared" si="7"/>
        <v>0</v>
      </c>
      <c r="E28" s="675">
        <f t="shared" si="7"/>
        <v>0</v>
      </c>
      <c r="F28" s="675">
        <f t="shared" si="7"/>
        <v>0</v>
      </c>
      <c r="G28" s="675">
        <f t="shared" si="7"/>
        <v>0</v>
      </c>
    </row>
    <row r="29" spans="1:7" x14ac:dyDescent="0.25">
      <c r="A29" s="612" t="s">
        <v>740</v>
      </c>
      <c r="B29" s="677"/>
      <c r="C29" s="678"/>
      <c r="D29" s="676">
        <f>B29+C29</f>
        <v>0</v>
      </c>
      <c r="E29" s="678"/>
      <c r="F29" s="678"/>
      <c r="G29" s="676">
        <f>D29-E29</f>
        <v>0</v>
      </c>
    </row>
    <row r="30" spans="1:7" x14ac:dyDescent="0.25">
      <c r="A30" s="612" t="s">
        <v>741</v>
      </c>
      <c r="B30" s="677"/>
      <c r="C30" s="678"/>
      <c r="D30" s="676">
        <f>B30+C30</f>
        <v>0</v>
      </c>
      <c r="E30" s="678"/>
      <c r="F30" s="678"/>
      <c r="G30" s="676">
        <f>D30-E30</f>
        <v>0</v>
      </c>
    </row>
    <row r="31" spans="1:7" x14ac:dyDescent="0.25">
      <c r="A31" s="611" t="s">
        <v>742</v>
      </c>
      <c r="B31" s="677"/>
      <c r="C31" s="678"/>
      <c r="D31" s="676">
        <f>B31+C31</f>
        <v>0</v>
      </c>
      <c r="E31" s="678"/>
      <c r="F31" s="678"/>
      <c r="G31" s="676">
        <f>D31-E31</f>
        <v>0</v>
      </c>
    </row>
    <row r="32" spans="1:7" ht="19.5" x14ac:dyDescent="0.25">
      <c r="A32" s="610" t="s">
        <v>744</v>
      </c>
      <c r="B32" s="675">
        <f t="shared" ref="B32:G32" si="8">B9+B21</f>
        <v>27044836.079999998</v>
      </c>
      <c r="C32" s="675">
        <f t="shared" si="8"/>
        <v>1459039.51</v>
      </c>
      <c r="D32" s="675">
        <f t="shared" si="8"/>
        <v>28503875.59</v>
      </c>
      <c r="E32" s="675">
        <f t="shared" si="8"/>
        <v>28503875.590000004</v>
      </c>
      <c r="F32" s="675">
        <f t="shared" si="8"/>
        <v>27207958.950000003</v>
      </c>
      <c r="G32" s="675">
        <f t="shared" si="8"/>
        <v>0</v>
      </c>
    </row>
    <row r="33" spans="1:7" ht="15.75" thickBot="1" x14ac:dyDescent="0.3">
      <c r="A33" s="613"/>
      <c r="B33" s="614"/>
      <c r="C33" s="615"/>
      <c r="D33" s="615"/>
      <c r="E33" s="615"/>
      <c r="F33" s="615"/>
      <c r="G33" s="615"/>
    </row>
  </sheetData>
  <sheetProtection sheet="1" scenarios="1" insertHyperlinks="0"/>
  <mergeCells count="9">
    <mergeCell ref="A7:A8"/>
    <mergeCell ref="B7:F7"/>
    <mergeCell ref="G7:G8"/>
    <mergeCell ref="A1:G1"/>
    <mergeCell ref="A2:G2"/>
    <mergeCell ref="A3:G3"/>
    <mergeCell ref="A4:G4"/>
    <mergeCell ref="A5:G5"/>
    <mergeCell ref="A6:G6"/>
  </mergeCells>
  <printOptions horizontalCentered="1"/>
  <pageMargins left="0.23622047244094491" right="0.23622047244094491" top="0.74803149606299213" bottom="0.74803149606299213" header="0.31496062992125984" footer="0.31496062992125984"/>
  <pageSetup scale="95"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
    <pageSetUpPr fitToPage="1"/>
  </sheetPr>
  <dimension ref="A1:D49"/>
  <sheetViews>
    <sheetView view="pageBreakPreview" zoomScale="110" zoomScaleNormal="100" zoomScaleSheetLayoutView="110" workbookViewId="0">
      <selection activeCell="B12" sqref="B12"/>
    </sheetView>
  </sheetViews>
  <sheetFormatPr baseColWidth="10" defaultColWidth="11.28515625" defaultRowHeight="16.5" x14ac:dyDescent="0.25"/>
  <cols>
    <col min="1" max="1" width="64.5703125" style="264" customWidth="1"/>
    <col min="2" max="2" width="25.7109375" style="264" customWidth="1"/>
    <col min="3" max="3" width="25.7109375" style="384" customWidth="1"/>
    <col min="4" max="4" width="89.140625" style="264" customWidth="1"/>
    <col min="5" max="16384" width="11.28515625" style="264"/>
  </cols>
  <sheetData>
    <row r="1" spans="1:4" x14ac:dyDescent="0.25">
      <c r="A1" s="1237" t="s">
        <v>1028</v>
      </c>
      <c r="B1" s="1237"/>
      <c r="C1" s="1237"/>
      <c r="D1" s="404"/>
    </row>
    <row r="2" spans="1:4" s="265" customFormat="1" ht="15.75" x14ac:dyDescent="0.25">
      <c r="A2" s="1237" t="s">
        <v>13</v>
      </c>
      <c r="B2" s="1237"/>
      <c r="C2" s="1237"/>
    </row>
    <row r="3" spans="1:4" s="265" customFormat="1" ht="15.75" x14ac:dyDescent="0.25">
      <c r="A3" s="1236"/>
      <c r="B3" s="1236"/>
      <c r="C3" s="1236"/>
    </row>
    <row r="4" spans="1:4" s="265" customFormat="1" x14ac:dyDescent="0.25">
      <c r="A4" s="1238" t="str">
        <f>'CPCA-I-01'!A4:G4</f>
        <v>AL 31 DE DICIEMBRE DE 2024</v>
      </c>
      <c r="B4" s="1238"/>
      <c r="C4" s="1238"/>
    </row>
    <row r="5" spans="1:4" s="266" customFormat="1" ht="17.25" thickBot="1" x14ac:dyDescent="0.3">
      <c r="A5" s="373"/>
      <c r="B5" s="498"/>
      <c r="C5" s="374"/>
    </row>
    <row r="6" spans="1:4" s="376" customFormat="1" ht="27" customHeight="1" thickBot="1" x14ac:dyDescent="0.3">
      <c r="A6" s="375" t="s">
        <v>745</v>
      </c>
      <c r="B6" s="158"/>
      <c r="C6" s="236">
        <f>'CPCA II-04'!E81</f>
        <v>34881677.560000002</v>
      </c>
      <c r="D6" s="385" t="str">
        <f>IF((C6-'CPCA II-04'!E81)&gt;0.9,"ERROR!!!!! EL MONTO NO COINCIDE CON LO REPORTADO EN EL FORMATO ETCA-II-04, EN EL TOTAL DE EGRESOS DEVENGADO ANUAL","")</f>
        <v/>
      </c>
    </row>
    <row r="7" spans="1:4" s="376" customFormat="1" ht="9.75" customHeight="1" x14ac:dyDescent="0.25">
      <c r="A7" s="377"/>
      <c r="B7" s="253"/>
      <c r="C7" s="386"/>
      <c r="D7" s="385"/>
    </row>
    <row r="8" spans="1:4" s="376" customFormat="1" ht="17.25" customHeight="1" thickBot="1" x14ac:dyDescent="0.3">
      <c r="A8" s="378"/>
      <c r="B8" s="256"/>
      <c r="C8" s="387"/>
      <c r="D8" s="385"/>
    </row>
    <row r="9" spans="1:4" ht="20.100000000000001" customHeight="1" x14ac:dyDescent="0.25">
      <c r="A9" s="379" t="s">
        <v>949</v>
      </c>
      <c r="B9" s="770"/>
      <c r="C9" s="388">
        <f>SUM(B10:B30)</f>
        <v>347289.9</v>
      </c>
      <c r="D9" s="389"/>
    </row>
    <row r="10" spans="1:4" ht="20.100000000000001" customHeight="1" x14ac:dyDescent="0.25">
      <c r="A10" s="380" t="s">
        <v>950</v>
      </c>
      <c r="B10" s="804"/>
      <c r="C10" s="390"/>
      <c r="D10" s="389"/>
    </row>
    <row r="11" spans="1:4" ht="20.100000000000001" customHeight="1" x14ac:dyDescent="0.25">
      <c r="A11" s="380" t="s">
        <v>951</v>
      </c>
      <c r="B11" s="804"/>
      <c r="C11" s="390"/>
      <c r="D11" s="389"/>
    </row>
    <row r="12" spans="1:4" ht="20.100000000000001" customHeight="1" x14ac:dyDescent="0.25">
      <c r="A12" s="380" t="s">
        <v>503</v>
      </c>
      <c r="B12" s="1157">
        <f>'CPCA II-04'!E48</f>
        <v>255845.4</v>
      </c>
      <c r="C12" s="390"/>
      <c r="D12" s="389"/>
    </row>
    <row r="13" spans="1:4" x14ac:dyDescent="0.25">
      <c r="A13" s="380" t="s">
        <v>504</v>
      </c>
      <c r="B13" s="1157">
        <f>'CPCA II-04'!E49</f>
        <v>0</v>
      </c>
      <c r="C13" s="390"/>
      <c r="D13" s="389"/>
    </row>
    <row r="14" spans="1:4" ht="20.100000000000001" customHeight="1" x14ac:dyDescent="0.25">
      <c r="A14" s="380" t="s">
        <v>505</v>
      </c>
      <c r="B14" s="804"/>
      <c r="C14" s="390"/>
      <c r="D14" s="389"/>
    </row>
    <row r="15" spans="1:4" ht="20.100000000000001" customHeight="1" x14ac:dyDescent="0.25">
      <c r="A15" s="380" t="s">
        <v>506</v>
      </c>
      <c r="B15" s="804"/>
      <c r="C15" s="390"/>
      <c r="D15" s="389"/>
    </row>
    <row r="16" spans="1:4" ht="20.100000000000001" customHeight="1" x14ac:dyDescent="0.25">
      <c r="A16" s="380" t="s">
        <v>507</v>
      </c>
      <c r="B16" s="804"/>
      <c r="C16" s="390"/>
      <c r="D16" s="389"/>
    </row>
    <row r="17" spans="1:4" ht="20.100000000000001" customHeight="1" x14ac:dyDescent="0.25">
      <c r="A17" s="380" t="s">
        <v>508</v>
      </c>
      <c r="B17" s="1157">
        <f>'CPCA II-04'!E53</f>
        <v>91444.5</v>
      </c>
      <c r="C17" s="390"/>
      <c r="D17" s="389"/>
    </row>
    <row r="18" spans="1:4" ht="20.100000000000001" customHeight="1" x14ac:dyDescent="0.25">
      <c r="A18" s="380" t="s">
        <v>982</v>
      </c>
      <c r="B18" s="804"/>
      <c r="C18" s="390"/>
      <c r="D18" s="389"/>
    </row>
    <row r="19" spans="1:4" ht="20.100000000000001" customHeight="1" x14ac:dyDescent="0.25">
      <c r="A19" s="380" t="s">
        <v>510</v>
      </c>
      <c r="B19" s="804"/>
      <c r="C19" s="390"/>
      <c r="D19" s="389"/>
    </row>
    <row r="20" spans="1:4" ht="20.100000000000001" customHeight="1" x14ac:dyDescent="0.25">
      <c r="A20" s="380" t="s">
        <v>54</v>
      </c>
      <c r="B20" s="804"/>
      <c r="C20" s="390"/>
      <c r="D20" s="389"/>
    </row>
    <row r="21" spans="1:4" ht="20.100000000000001" customHeight="1" x14ac:dyDescent="0.25">
      <c r="A21" s="380" t="s">
        <v>511</v>
      </c>
      <c r="B21" s="804"/>
      <c r="C21" s="390"/>
      <c r="D21" s="389"/>
    </row>
    <row r="22" spans="1:4" ht="20.100000000000001" customHeight="1" x14ac:dyDescent="0.25">
      <c r="A22" s="380" t="s">
        <v>512</v>
      </c>
      <c r="B22" s="804"/>
      <c r="C22" s="390"/>
      <c r="D22" s="389"/>
    </row>
    <row r="23" spans="1:4" ht="20.100000000000001" customHeight="1" x14ac:dyDescent="0.25">
      <c r="A23" s="380" t="s">
        <v>516</v>
      </c>
      <c r="B23" s="804"/>
      <c r="C23" s="390"/>
      <c r="D23" s="389"/>
    </row>
    <row r="24" spans="1:4" ht="20.100000000000001" customHeight="1" x14ac:dyDescent="0.25">
      <c r="A24" s="380" t="s">
        <v>517</v>
      </c>
      <c r="B24" s="804"/>
      <c r="C24" s="390"/>
      <c r="D24" s="389"/>
    </row>
    <row r="25" spans="1:4" ht="20.100000000000001" customHeight="1" x14ac:dyDescent="0.25">
      <c r="A25" s="380" t="s">
        <v>518</v>
      </c>
      <c r="B25" s="804"/>
      <c r="C25" s="390"/>
      <c r="D25" s="389"/>
    </row>
    <row r="26" spans="1:4" ht="20.100000000000001" customHeight="1" x14ac:dyDescent="0.25">
      <c r="A26" s="380" t="s">
        <v>519</v>
      </c>
      <c r="B26" s="804"/>
      <c r="C26" s="390"/>
      <c r="D26" s="389"/>
    </row>
    <row r="27" spans="1:4" ht="20.100000000000001" customHeight="1" x14ac:dyDescent="0.25">
      <c r="A27" s="380" t="s">
        <v>521</v>
      </c>
      <c r="B27" s="804"/>
      <c r="C27" s="390"/>
      <c r="D27" s="389"/>
    </row>
    <row r="28" spans="1:4" ht="20.100000000000001" customHeight="1" x14ac:dyDescent="0.25">
      <c r="A28" s="380" t="s">
        <v>983</v>
      </c>
      <c r="B28" s="804"/>
      <c r="C28" s="390"/>
      <c r="D28" s="389"/>
    </row>
    <row r="29" spans="1:4" ht="20.100000000000001" customHeight="1" x14ac:dyDescent="0.25">
      <c r="A29" s="380" t="s">
        <v>984</v>
      </c>
      <c r="B29" s="804"/>
      <c r="C29" s="390"/>
      <c r="D29" s="389"/>
    </row>
    <row r="30" spans="1:4" ht="20.100000000000001" customHeight="1" thickBot="1" x14ac:dyDescent="0.3">
      <c r="A30" s="380" t="s">
        <v>746</v>
      </c>
      <c r="B30" s="805"/>
      <c r="C30" s="391"/>
      <c r="D30" s="389"/>
    </row>
    <row r="31" spans="1:4" ht="7.5" customHeight="1" x14ac:dyDescent="0.25">
      <c r="A31" s="381"/>
      <c r="B31" s="253"/>
      <c r="C31" s="392"/>
      <c r="D31" s="389"/>
    </row>
    <row r="32" spans="1:4" ht="20.100000000000001" customHeight="1" thickBot="1" x14ac:dyDescent="0.3">
      <c r="A32" s="382"/>
      <c r="B32" s="256"/>
      <c r="C32" s="393"/>
      <c r="D32" s="389"/>
    </row>
    <row r="33" spans="1:4" ht="20.100000000000001" customHeight="1" x14ac:dyDescent="0.25">
      <c r="A33" s="379" t="s">
        <v>952</v>
      </c>
      <c r="B33" s="806"/>
      <c r="C33" s="388">
        <f>SUM(B34:B40)</f>
        <v>0</v>
      </c>
      <c r="D33" s="389"/>
    </row>
    <row r="34" spans="1:4" x14ac:dyDescent="0.25">
      <c r="A34" s="380" t="s">
        <v>235</v>
      </c>
      <c r="B34" s="1160">
        <f>'CPCA-I-03'!C53</f>
        <v>0</v>
      </c>
      <c r="C34" s="390"/>
      <c r="D34" s="389"/>
    </row>
    <row r="35" spans="1:4" ht="20.100000000000001" customHeight="1" x14ac:dyDescent="0.25">
      <c r="A35" s="380" t="s">
        <v>236</v>
      </c>
      <c r="B35" s="804"/>
      <c r="C35" s="390"/>
      <c r="D35" s="397" t="str">
        <f>IF(B34&lt;&gt;'CPCA-I-03'!C53,"ERROR!!!!! EL MONTO NO COINCIDE CON LO REPORTADO EN EL FORMATO ETCA-I-02 POR CONCEPTO DE ESTIMACIONES, DEPRECIACIONES, ETC..","")</f>
        <v/>
      </c>
    </row>
    <row r="36" spans="1:4" ht="20.100000000000001" customHeight="1" x14ac:dyDescent="0.25">
      <c r="A36" s="380" t="s">
        <v>237</v>
      </c>
      <c r="B36" s="804"/>
      <c r="C36" s="390"/>
      <c r="D36" s="389"/>
    </row>
    <row r="37" spans="1:4" ht="25.5" customHeight="1" x14ac:dyDescent="0.25">
      <c r="A37" s="380" t="s">
        <v>973</v>
      </c>
      <c r="B37" s="804"/>
      <c r="C37" s="390"/>
      <c r="D37" s="389"/>
    </row>
    <row r="38" spans="1:4" ht="20.100000000000001" customHeight="1" x14ac:dyDescent="0.25">
      <c r="A38" s="380" t="s">
        <v>238</v>
      </c>
      <c r="B38" s="804"/>
      <c r="C38" s="390"/>
      <c r="D38" s="389"/>
    </row>
    <row r="39" spans="1:4" ht="20.100000000000001" customHeight="1" x14ac:dyDescent="0.25">
      <c r="A39" s="380" t="s">
        <v>239</v>
      </c>
      <c r="B39" s="804"/>
      <c r="C39" s="390"/>
      <c r="D39" s="389"/>
    </row>
    <row r="40" spans="1:4" ht="20.100000000000001" customHeight="1" x14ac:dyDescent="0.25">
      <c r="A40" s="380" t="s">
        <v>747</v>
      </c>
      <c r="B40" s="804"/>
      <c r="C40" s="390"/>
      <c r="D40" s="389"/>
    </row>
    <row r="41" spans="1:4" ht="20.100000000000001" customHeight="1" thickBot="1" x14ac:dyDescent="0.3">
      <c r="A41" s="383"/>
      <c r="B41" s="807"/>
      <c r="C41" s="391"/>
      <c r="D41" s="389"/>
    </row>
    <row r="42" spans="1:4" ht="20.100000000000001" customHeight="1" thickBot="1" x14ac:dyDescent="0.3">
      <c r="A42" s="474" t="s">
        <v>748</v>
      </c>
      <c r="B42" s="808"/>
      <c r="C42" s="236">
        <f>C6-C9+C33</f>
        <v>34534387.660000004</v>
      </c>
      <c r="D42" s="389"/>
    </row>
    <row r="43" spans="1:4" ht="20.100000000000001" customHeight="1" x14ac:dyDescent="0.25">
      <c r="A43" s="473"/>
      <c r="B43" s="471"/>
      <c r="C43" s="472"/>
      <c r="D43" s="389" t="str">
        <f>IF((C42-'CPCA-I-03'!C62)&gt;0.9,"ERROR!!!!! EL MONTO NO COINCIDE CON LO REPORTADO EN EL FORMATO ETCA-I-03, EN EL MISMO RUBRO","")</f>
        <v/>
      </c>
    </row>
    <row r="44" spans="1:4" ht="20.100000000000001" customHeight="1" x14ac:dyDescent="0.25">
      <c r="A44" s="470"/>
      <c r="B44" s="471"/>
      <c r="C44" s="472"/>
      <c r="D44" s="389"/>
    </row>
    <row r="45" spans="1:4" ht="20.100000000000001" customHeight="1" x14ac:dyDescent="0.25">
      <c r="A45" s="470"/>
      <c r="B45" s="471"/>
      <c r="C45" s="472"/>
      <c r="D45" s="389"/>
    </row>
    <row r="46" spans="1:4" ht="20.100000000000001" customHeight="1" x14ac:dyDescent="0.25">
      <c r="A46" s="470"/>
      <c r="B46" s="471"/>
      <c r="C46" s="472"/>
      <c r="D46" s="389"/>
    </row>
    <row r="47" spans="1:4" ht="20.100000000000001" customHeight="1" x14ac:dyDescent="0.25">
      <c r="A47" s="470"/>
      <c r="B47" s="471"/>
      <c r="C47" s="472"/>
      <c r="D47" s="389"/>
    </row>
    <row r="48" spans="1:4" ht="26.25" customHeight="1" x14ac:dyDescent="0.25">
      <c r="A48" s="473"/>
      <c r="B48" s="471"/>
      <c r="C48" s="472"/>
      <c r="D48" s="389"/>
    </row>
    <row r="49" spans="4:4" x14ac:dyDescent="0.25">
      <c r="D49" s="389"/>
    </row>
  </sheetData>
  <sheetProtection formatColumns="0" formatRows="0" insertHyperlinks="0"/>
  <mergeCells count="4">
    <mergeCell ref="A1:C1"/>
    <mergeCell ref="A2:C2"/>
    <mergeCell ref="A3:C3"/>
    <mergeCell ref="A4:C4"/>
  </mergeCells>
  <printOptions horizontalCentered="1"/>
  <pageMargins left="0.39370078740157483" right="0.39370078740157483" top="0.74803149606299213" bottom="0.74803149606299213" header="0.31496062992125984" footer="0.31496062992125984"/>
  <pageSetup scale="78"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J38"/>
  <sheetViews>
    <sheetView view="pageBreakPreview" zoomScaleNormal="100" zoomScaleSheetLayoutView="100" workbookViewId="0">
      <selection activeCell="E17" sqref="E17"/>
    </sheetView>
  </sheetViews>
  <sheetFormatPr baseColWidth="10" defaultColWidth="11.28515625" defaultRowHeight="16.5" x14ac:dyDescent="0.3"/>
  <cols>
    <col min="1" max="1" width="4.28515625" style="111" customWidth="1"/>
    <col min="2" max="2" width="41.7109375" style="93" customWidth="1"/>
    <col min="3" max="5" width="16.7109375" style="93" customWidth="1"/>
    <col min="6" max="16384" width="11.28515625" style="93"/>
  </cols>
  <sheetData>
    <row r="1" spans="1:7" x14ac:dyDescent="0.3">
      <c r="A1" s="1501" t="s">
        <v>1028</v>
      </c>
      <c r="B1" s="1501"/>
      <c r="C1" s="1501"/>
      <c r="D1" s="1501"/>
      <c r="E1" s="1501"/>
    </row>
    <row r="2" spans="1:7" x14ac:dyDescent="0.3">
      <c r="A2" s="1505" t="s">
        <v>272</v>
      </c>
      <c r="B2" s="1505"/>
      <c r="C2" s="1505"/>
      <c r="D2" s="1505"/>
      <c r="E2" s="1505"/>
    </row>
    <row r="3" spans="1:7" x14ac:dyDescent="0.3">
      <c r="A3" s="1214"/>
      <c r="B3" s="1214"/>
      <c r="C3" s="1214"/>
      <c r="D3" s="1214"/>
      <c r="E3" s="1214"/>
      <c r="G3" s="306"/>
    </row>
    <row r="4" spans="1:7" x14ac:dyDescent="0.3">
      <c r="A4" s="1229" t="str">
        <f>'CPCA-I-03'!A4:D4</f>
        <v>Del 01 de ENERO al 31 de DICIEMBRE de 2024</v>
      </c>
      <c r="B4" s="1229"/>
      <c r="C4" s="1229"/>
      <c r="D4" s="1229"/>
      <c r="E4" s="1229"/>
    </row>
    <row r="5" spans="1:7" ht="17.25" thickBot="1" x14ac:dyDescent="0.35">
      <c r="A5" s="307"/>
      <c r="B5" s="1505" t="s">
        <v>749</v>
      </c>
      <c r="C5" s="1505"/>
      <c r="D5" s="38"/>
      <c r="E5" s="307"/>
    </row>
    <row r="6" spans="1:7" s="191" customFormat="1" ht="30" customHeight="1" x14ac:dyDescent="0.25">
      <c r="A6" s="1506" t="s">
        <v>750</v>
      </c>
      <c r="B6" s="1507"/>
      <c r="C6" s="308" t="s">
        <v>751</v>
      </c>
      <c r="D6" s="309" t="s">
        <v>752</v>
      </c>
      <c r="E6" s="310" t="s">
        <v>272</v>
      </c>
    </row>
    <row r="7" spans="1:7" s="191" customFormat="1" ht="30" customHeight="1" thickBot="1" x14ac:dyDescent="0.3">
      <c r="A7" s="1508"/>
      <c r="B7" s="1509"/>
      <c r="C7" s="311" t="s">
        <v>753</v>
      </c>
      <c r="D7" s="311" t="s">
        <v>754</v>
      </c>
      <c r="E7" s="312" t="s">
        <v>755</v>
      </c>
    </row>
    <row r="8" spans="1:7" s="191" customFormat="1" ht="21" customHeight="1" x14ac:dyDescent="0.25">
      <c r="A8" s="1510" t="s">
        <v>756</v>
      </c>
      <c r="B8" s="1511"/>
      <c r="C8" s="1511"/>
      <c r="D8" s="1511"/>
      <c r="E8" s="1512"/>
    </row>
    <row r="9" spans="1:7" s="191" customFormat="1" ht="20.25" customHeight="1" x14ac:dyDescent="0.25">
      <c r="A9" s="313">
        <v>1</v>
      </c>
      <c r="B9" s="314"/>
      <c r="C9" s="315"/>
      <c r="D9" s="316"/>
      <c r="E9" s="326" t="str">
        <f>IF(B9="","",C9-D9)</f>
        <v/>
      </c>
    </row>
    <row r="10" spans="1:7" s="191" customFormat="1" ht="20.25" customHeight="1" x14ac:dyDescent="0.25">
      <c r="A10" s="313">
        <v>2</v>
      </c>
      <c r="B10" s="314"/>
      <c r="C10" s="315"/>
      <c r="D10" s="316"/>
      <c r="E10" s="326" t="str">
        <f t="shared" ref="E10:E18" si="0">IF(B10="","",C10-D10)</f>
        <v/>
      </c>
    </row>
    <row r="11" spans="1:7" s="191" customFormat="1" ht="20.25" customHeight="1" x14ac:dyDescent="0.25">
      <c r="A11" s="313">
        <v>3</v>
      </c>
      <c r="B11" s="314"/>
      <c r="C11" s="315"/>
      <c r="D11" s="316"/>
      <c r="E11" s="326" t="str">
        <f t="shared" si="0"/>
        <v/>
      </c>
    </row>
    <row r="12" spans="1:7" s="191" customFormat="1" ht="20.25" customHeight="1" x14ac:dyDescent="0.25">
      <c r="A12" s="313">
        <v>4</v>
      </c>
      <c r="B12" s="314"/>
      <c r="C12" s="315"/>
      <c r="D12" s="316"/>
      <c r="E12" s="326" t="str">
        <f t="shared" si="0"/>
        <v/>
      </c>
    </row>
    <row r="13" spans="1:7" s="191" customFormat="1" ht="20.25" customHeight="1" x14ac:dyDescent="0.25">
      <c r="A13" s="313">
        <v>5</v>
      </c>
      <c r="B13" s="314"/>
      <c r="C13" s="315"/>
      <c r="D13" s="316"/>
      <c r="E13" s="326" t="str">
        <f t="shared" si="0"/>
        <v/>
      </c>
    </row>
    <row r="14" spans="1:7" s="191" customFormat="1" ht="20.25" customHeight="1" x14ac:dyDescent="0.3">
      <c r="A14" s="313">
        <v>6</v>
      </c>
      <c r="B14" s="1029" t="s">
        <v>1032</v>
      </c>
      <c r="C14" s="315"/>
      <c r="D14" s="316"/>
      <c r="E14" s="326">
        <f t="shared" si="0"/>
        <v>0</v>
      </c>
    </row>
    <row r="15" spans="1:7" s="191" customFormat="1" ht="20.25" customHeight="1" x14ac:dyDescent="0.25">
      <c r="A15" s="313">
        <v>7</v>
      </c>
      <c r="B15" s="314"/>
      <c r="C15" s="315"/>
      <c r="D15" s="316"/>
      <c r="E15" s="326" t="str">
        <f t="shared" si="0"/>
        <v/>
      </c>
    </row>
    <row r="16" spans="1:7" s="191" customFormat="1" ht="20.25" customHeight="1" x14ac:dyDescent="0.25">
      <c r="A16" s="313">
        <v>8</v>
      </c>
      <c r="B16" s="314"/>
      <c r="C16" s="315"/>
      <c r="D16" s="316"/>
      <c r="E16" s="326" t="str">
        <f t="shared" si="0"/>
        <v/>
      </c>
    </row>
    <row r="17" spans="1:5" s="191" customFormat="1" ht="20.25" customHeight="1" x14ac:dyDescent="0.25">
      <c r="A17" s="313">
        <v>9</v>
      </c>
      <c r="B17" s="314"/>
      <c r="C17" s="315"/>
      <c r="D17" s="316"/>
      <c r="E17" s="326" t="str">
        <f t="shared" si="0"/>
        <v/>
      </c>
    </row>
    <row r="18" spans="1:5" s="191" customFormat="1" ht="20.25" customHeight="1" x14ac:dyDescent="0.25">
      <c r="A18" s="313">
        <v>10</v>
      </c>
      <c r="B18" s="314"/>
      <c r="C18" s="315"/>
      <c r="D18" s="316"/>
      <c r="E18" s="326" t="str">
        <f t="shared" si="0"/>
        <v/>
      </c>
    </row>
    <row r="19" spans="1:5" s="191" customFormat="1" ht="20.25" customHeight="1" x14ac:dyDescent="0.25">
      <c r="A19" s="313"/>
      <c r="B19" s="318" t="s">
        <v>757</v>
      </c>
      <c r="C19" s="324">
        <f>SUM(C9:C18)</f>
        <v>0</v>
      </c>
      <c r="D19" s="325">
        <f>SUM(D9:D18)</f>
        <v>0</v>
      </c>
      <c r="E19" s="326">
        <f>SUM(E9:E18)</f>
        <v>0</v>
      </c>
    </row>
    <row r="20" spans="1:5" s="191" customFormat="1" ht="21" customHeight="1" x14ac:dyDescent="0.25">
      <c r="A20" s="1502" t="s">
        <v>758</v>
      </c>
      <c r="B20" s="1503"/>
      <c r="C20" s="1503"/>
      <c r="D20" s="1503"/>
      <c r="E20" s="1504"/>
    </row>
    <row r="21" spans="1:5" s="191" customFormat="1" ht="20.25" customHeight="1" x14ac:dyDescent="0.25">
      <c r="A21" s="313">
        <v>1</v>
      </c>
      <c r="B21" s="314"/>
      <c r="C21" s="315"/>
      <c r="D21" s="316"/>
      <c r="E21" s="326" t="str">
        <f>IF(B21="","",C21-D21)</f>
        <v/>
      </c>
    </row>
    <row r="22" spans="1:5" s="191" customFormat="1" ht="20.25" customHeight="1" x14ac:dyDescent="0.25">
      <c r="A22" s="313">
        <v>2</v>
      </c>
      <c r="B22" s="314"/>
      <c r="C22" s="315"/>
      <c r="D22" s="316"/>
      <c r="E22" s="326" t="str">
        <f t="shared" ref="E22:E30" si="1">IF(B22="","",C22-D22)</f>
        <v/>
      </c>
    </row>
    <row r="23" spans="1:5" s="191" customFormat="1" ht="20.25" customHeight="1" x14ac:dyDescent="0.25">
      <c r="A23" s="313">
        <v>3</v>
      </c>
      <c r="B23" s="314"/>
      <c r="C23" s="315"/>
      <c r="D23" s="316"/>
      <c r="E23" s="326" t="str">
        <f t="shared" si="1"/>
        <v/>
      </c>
    </row>
    <row r="24" spans="1:5" s="191" customFormat="1" ht="20.25" customHeight="1" x14ac:dyDescent="0.25">
      <c r="A24" s="313">
        <v>4</v>
      </c>
      <c r="B24" s="314"/>
      <c r="C24" s="315"/>
      <c r="D24" s="316"/>
      <c r="E24" s="326" t="str">
        <f t="shared" si="1"/>
        <v/>
      </c>
    </row>
    <row r="25" spans="1:5" s="191" customFormat="1" ht="20.25" customHeight="1" x14ac:dyDescent="0.25">
      <c r="A25" s="313">
        <v>5</v>
      </c>
      <c r="B25" s="314"/>
      <c r="C25" s="315"/>
      <c r="D25" s="316"/>
      <c r="E25" s="326" t="str">
        <f t="shared" si="1"/>
        <v/>
      </c>
    </row>
    <row r="26" spans="1:5" s="191" customFormat="1" ht="20.25" customHeight="1" x14ac:dyDescent="0.25">
      <c r="A26" s="313">
        <v>6</v>
      </c>
      <c r="B26" s="314"/>
      <c r="C26" s="315"/>
      <c r="D26" s="316"/>
      <c r="E26" s="326" t="str">
        <f t="shared" si="1"/>
        <v/>
      </c>
    </row>
    <row r="27" spans="1:5" s="191" customFormat="1" ht="20.25" customHeight="1" x14ac:dyDescent="0.25">
      <c r="A27" s="313">
        <v>7</v>
      </c>
      <c r="B27" s="314"/>
      <c r="C27" s="315"/>
      <c r="D27" s="316"/>
      <c r="E27" s="326" t="str">
        <f t="shared" si="1"/>
        <v/>
      </c>
    </row>
    <row r="28" spans="1:5" s="191" customFormat="1" ht="20.25" customHeight="1" x14ac:dyDescent="0.25">
      <c r="A28" s="313">
        <v>8</v>
      </c>
      <c r="B28" s="314"/>
      <c r="C28" s="315"/>
      <c r="D28" s="316"/>
      <c r="E28" s="326" t="str">
        <f>IF(B28="","",C28-D29)</f>
        <v/>
      </c>
    </row>
    <row r="29" spans="1:5" s="191" customFormat="1" ht="20.25" customHeight="1" x14ac:dyDescent="0.25">
      <c r="A29" s="313">
        <v>9</v>
      </c>
      <c r="B29" s="314"/>
      <c r="C29" s="315"/>
      <c r="D29" s="316"/>
      <c r="E29" s="326" t="str">
        <f>IF(B29="","",C29-#REF!)</f>
        <v/>
      </c>
    </row>
    <row r="30" spans="1:5" s="191" customFormat="1" ht="20.25" customHeight="1" x14ac:dyDescent="0.25">
      <c r="A30" s="313">
        <v>10</v>
      </c>
      <c r="B30" s="314"/>
      <c r="C30" s="315"/>
      <c r="D30" s="316"/>
      <c r="E30" s="326" t="str">
        <f t="shared" si="1"/>
        <v/>
      </c>
    </row>
    <row r="31" spans="1:5" s="320" customFormat="1" ht="39.950000000000003" customHeight="1" thickBot="1" x14ac:dyDescent="0.35">
      <c r="A31" s="313"/>
      <c r="B31" s="319" t="s">
        <v>759</v>
      </c>
      <c r="C31" s="324">
        <f>SUM(C21:C30)</f>
        <v>0</v>
      </c>
      <c r="D31" s="325">
        <f>SUM(D21:D30)</f>
        <v>0</v>
      </c>
      <c r="E31" s="326">
        <f>SUM(E21:E30)</f>
        <v>0</v>
      </c>
    </row>
    <row r="32" spans="1:5" ht="30" customHeight="1" thickBot="1" x14ac:dyDescent="0.35">
      <c r="A32" s="321"/>
      <c r="B32" s="322" t="s">
        <v>760</v>
      </c>
      <c r="C32" s="327">
        <f>SUM(C19,C31)</f>
        <v>0</v>
      </c>
      <c r="D32" s="327">
        <f>SUM(D19,D31)</f>
        <v>0</v>
      </c>
      <c r="E32" s="328">
        <f>SUM(E19,E31)</f>
        <v>0</v>
      </c>
    </row>
    <row r="33" spans="1:10" ht="17.100000000000001" customHeight="1" x14ac:dyDescent="0.3">
      <c r="A33" s="417" t="s">
        <v>81</v>
      </c>
    </row>
    <row r="34" spans="1:10" ht="17.100000000000001" customHeight="1" x14ac:dyDescent="0.3">
      <c r="A34" s="475"/>
      <c r="B34" s="476"/>
      <c r="C34" s="477"/>
      <c r="D34" s="477"/>
      <c r="E34" s="477"/>
    </row>
    <row r="35" spans="1:10" ht="17.100000000000001" customHeight="1" x14ac:dyDescent="0.3">
      <c r="A35" s="475"/>
      <c r="B35" s="476"/>
      <c r="C35" s="477"/>
      <c r="D35" s="477"/>
      <c r="E35" s="477"/>
    </row>
    <row r="36" spans="1:10" ht="17.100000000000001" customHeight="1" x14ac:dyDescent="0.3">
      <c r="A36" s="475"/>
      <c r="B36" s="476"/>
      <c r="C36" s="477"/>
      <c r="D36" s="477"/>
      <c r="E36" s="477"/>
    </row>
    <row r="37" spans="1:10" ht="17.100000000000001" customHeight="1" x14ac:dyDescent="0.3">
      <c r="A37" s="475"/>
      <c r="B37" s="476"/>
      <c r="C37" s="477"/>
      <c r="D37" s="477"/>
      <c r="E37" s="477"/>
    </row>
    <row r="38" spans="1:10" ht="17.100000000000001" customHeight="1" x14ac:dyDescent="0.3">
      <c r="A38" s="37" t="s">
        <v>245</v>
      </c>
      <c r="J38" s="323"/>
    </row>
  </sheetData>
  <sheetProtection insertHyperlinks="0"/>
  <mergeCells count="8">
    <mergeCell ref="A1:E1"/>
    <mergeCell ref="A3:E3"/>
    <mergeCell ref="A4:E4"/>
    <mergeCell ref="A20:E20"/>
    <mergeCell ref="A2:E2"/>
    <mergeCell ref="A6:B7"/>
    <mergeCell ref="A8:E8"/>
    <mergeCell ref="B5:C5"/>
  </mergeCells>
  <printOptions horizontalCentered="1"/>
  <pageMargins left="0.39370078740157483" right="0.39370078740157483" top="0.74803149606299213" bottom="0.74803149606299213" header="0.31496062992125984" footer="0.31496062992125984"/>
  <pageSetup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view="pageBreakPreview" zoomScale="112" zoomScaleNormal="100" zoomScaleSheetLayoutView="112" workbookViewId="0">
      <selection activeCell="A5" sqref="A5:G5"/>
    </sheetView>
  </sheetViews>
  <sheetFormatPr baseColWidth="10" defaultColWidth="11.42578125" defaultRowHeight="15" x14ac:dyDescent="0.25"/>
  <cols>
    <col min="1" max="1" width="40.28515625" customWidth="1"/>
    <col min="2" max="2" width="14" customWidth="1"/>
    <col min="3" max="3" width="15.28515625" customWidth="1"/>
    <col min="4" max="4" width="1.28515625" customWidth="1"/>
    <col min="5" max="5" width="40.28515625" customWidth="1"/>
    <col min="6" max="6" width="14" customWidth="1"/>
    <col min="7" max="7" width="15.5703125" customWidth="1"/>
  </cols>
  <sheetData>
    <row r="1" spans="1:7" ht="15.75" x14ac:dyDescent="0.25">
      <c r="A1" s="1208" t="s">
        <v>1028</v>
      </c>
      <c r="B1" s="1208"/>
      <c r="C1" s="1208"/>
      <c r="D1" s="1208"/>
      <c r="E1" s="1208"/>
      <c r="F1" s="1208"/>
      <c r="G1" s="1208"/>
    </row>
    <row r="2" spans="1:7" ht="14.25" customHeight="1" x14ac:dyDescent="0.25">
      <c r="A2" s="1208" t="s">
        <v>83</v>
      </c>
      <c r="B2" s="1208"/>
      <c r="C2" s="1208"/>
      <c r="D2" s="1208"/>
      <c r="E2" s="1208"/>
      <c r="F2" s="1208"/>
      <c r="G2" s="1208"/>
    </row>
    <row r="3" spans="1:7" s="37" customFormat="1" ht="14.25" customHeight="1" x14ac:dyDescent="0.3"/>
    <row r="4" spans="1:7" ht="12.75" customHeight="1" x14ac:dyDescent="0.25">
      <c r="A4" s="1212" t="s">
        <v>2287</v>
      </c>
      <c r="B4" s="1212"/>
      <c r="C4" s="1212"/>
      <c r="D4" s="1212"/>
      <c r="E4" s="1212"/>
      <c r="F4" s="1212"/>
      <c r="G4" s="1212"/>
    </row>
    <row r="5" spans="1:7" ht="12" customHeight="1" thickBot="1" x14ac:dyDescent="0.3">
      <c r="A5" s="1213" t="s">
        <v>84</v>
      </c>
      <c r="B5" s="1213"/>
      <c r="C5" s="1213"/>
      <c r="D5" s="1213"/>
      <c r="E5" s="1213"/>
      <c r="F5" s="1213"/>
      <c r="G5" s="1213"/>
    </row>
    <row r="6" spans="1:7" ht="26.25" thickBot="1" x14ac:dyDescent="0.3">
      <c r="A6" s="649" t="s">
        <v>85</v>
      </c>
      <c r="B6" s="797">
        <v>2024</v>
      </c>
      <c r="C6" s="797" t="s">
        <v>2244</v>
      </c>
      <c r="D6" s="650"/>
      <c r="E6" s="651" t="s">
        <v>85</v>
      </c>
      <c r="F6" s="797">
        <v>2024</v>
      </c>
      <c r="G6" s="1114" t="s">
        <v>2244</v>
      </c>
    </row>
    <row r="7" spans="1:7" ht="15.75" customHeight="1" x14ac:dyDescent="0.25">
      <c r="A7" s="572" t="s">
        <v>23</v>
      </c>
      <c r="B7" s="655"/>
      <c r="C7" s="655"/>
      <c r="D7" s="656"/>
      <c r="E7" s="655" t="s">
        <v>24</v>
      </c>
      <c r="F7" s="655"/>
      <c r="G7" s="655"/>
    </row>
    <row r="8" spans="1:7" ht="10.5" customHeight="1" x14ac:dyDescent="0.25">
      <c r="A8" s="572" t="s">
        <v>25</v>
      </c>
      <c r="B8" s="657"/>
      <c r="C8" s="657"/>
      <c r="D8" s="656"/>
      <c r="E8" s="655" t="s">
        <v>26</v>
      </c>
      <c r="F8" s="657"/>
      <c r="G8" s="657"/>
    </row>
    <row r="9" spans="1:7" s="620" customFormat="1" ht="25.5" x14ac:dyDescent="0.25">
      <c r="A9" s="572" t="s">
        <v>86</v>
      </c>
      <c r="B9" s="628">
        <f>SUM(B10:B16)</f>
        <v>3342521.77</v>
      </c>
      <c r="C9" s="628">
        <f>SUM(C10:C16)</f>
        <v>2347200.67</v>
      </c>
      <c r="D9" s="658"/>
      <c r="E9" s="655" t="s">
        <v>87</v>
      </c>
      <c r="F9" s="1092">
        <f>SUM(F10:F18)</f>
        <v>20345134.289999999</v>
      </c>
      <c r="G9" s="628">
        <f>SUM(G10:G18)</f>
        <v>13337507.039999999</v>
      </c>
    </row>
    <row r="10" spans="1:7" x14ac:dyDescent="0.25">
      <c r="A10" s="659" t="s">
        <v>88</v>
      </c>
      <c r="B10" s="1090">
        <v>1504.99</v>
      </c>
      <c r="C10" s="1090">
        <v>1500</v>
      </c>
      <c r="D10" s="656"/>
      <c r="E10" s="657" t="s">
        <v>89</v>
      </c>
      <c r="F10" s="1090">
        <v>791014.75</v>
      </c>
      <c r="G10" s="1090">
        <v>172559.3</v>
      </c>
    </row>
    <row r="11" spans="1:7" x14ac:dyDescent="0.25">
      <c r="A11" s="659" t="s">
        <v>90</v>
      </c>
      <c r="B11" s="1090">
        <v>3329472.38</v>
      </c>
      <c r="C11" s="1090">
        <v>2339156.27</v>
      </c>
      <c r="D11" s="656"/>
      <c r="E11" s="657" t="s">
        <v>91</v>
      </c>
      <c r="F11" s="1091">
        <v>44724.41</v>
      </c>
      <c r="G11" s="1091">
        <v>137304.13</v>
      </c>
    </row>
    <row r="12" spans="1:7" x14ac:dyDescent="0.25">
      <c r="A12" s="659" t="s">
        <v>92</v>
      </c>
      <c r="B12" s="1091">
        <v>0</v>
      </c>
      <c r="C12" s="660">
        <v>0</v>
      </c>
      <c r="D12" s="656"/>
      <c r="E12" s="657" t="s">
        <v>93</v>
      </c>
      <c r="F12" s="1091"/>
      <c r="G12" s="660">
        <v>0</v>
      </c>
    </row>
    <row r="13" spans="1:7" x14ac:dyDescent="0.25">
      <c r="A13" s="659" t="s">
        <v>94</v>
      </c>
      <c r="B13" s="1091">
        <v>0</v>
      </c>
      <c r="C13" s="660">
        <v>0</v>
      </c>
      <c r="D13" s="656"/>
      <c r="E13" s="657" t="s">
        <v>95</v>
      </c>
      <c r="F13" s="1091">
        <v>0</v>
      </c>
      <c r="G13" s="660">
        <v>0</v>
      </c>
    </row>
    <row r="14" spans="1:7" x14ac:dyDescent="0.25">
      <c r="A14" s="659" t="s">
        <v>96</v>
      </c>
      <c r="B14" s="1091">
        <v>0</v>
      </c>
      <c r="C14" s="660">
        <v>0</v>
      </c>
      <c r="D14" s="656"/>
      <c r="E14" s="657" t="s">
        <v>97</v>
      </c>
      <c r="F14" s="1091">
        <v>0</v>
      </c>
      <c r="G14" s="660">
        <v>0</v>
      </c>
    </row>
    <row r="15" spans="1:7" ht="25.5" x14ac:dyDescent="0.25">
      <c r="A15" s="659" t="s">
        <v>98</v>
      </c>
      <c r="B15" s="1091">
        <v>11544.4</v>
      </c>
      <c r="C15" s="660">
        <v>6544.4</v>
      </c>
      <c r="D15" s="656"/>
      <c r="E15" s="657" t="s">
        <v>99</v>
      </c>
      <c r="F15" s="1091">
        <v>0</v>
      </c>
      <c r="G15" s="660">
        <v>0</v>
      </c>
    </row>
    <row r="16" spans="1:7" x14ac:dyDescent="0.25">
      <c r="A16" s="659" t="s">
        <v>100</v>
      </c>
      <c r="B16" s="1091">
        <v>0</v>
      </c>
      <c r="C16" s="660">
        <v>0</v>
      </c>
      <c r="D16" s="656"/>
      <c r="E16" s="657" t="s">
        <v>101</v>
      </c>
      <c r="F16" s="1090">
        <v>19509395.129999999</v>
      </c>
      <c r="G16" s="1090">
        <v>13027643.609999999</v>
      </c>
    </row>
    <row r="17" spans="1:7" ht="25.5" x14ac:dyDescent="0.25">
      <c r="A17" s="581" t="s">
        <v>102</v>
      </c>
      <c r="B17" s="1092">
        <f>SUM(B18:B24)</f>
        <v>121958.81</v>
      </c>
      <c r="C17" s="628">
        <f>SUM(C18:C24)</f>
        <v>31668.98</v>
      </c>
      <c r="D17" s="656"/>
      <c r="E17" s="657" t="s">
        <v>103</v>
      </c>
      <c r="F17" s="1091">
        <v>0</v>
      </c>
      <c r="G17" s="660">
        <v>0</v>
      </c>
    </row>
    <row r="18" spans="1:7" x14ac:dyDescent="0.25">
      <c r="A18" s="661" t="s">
        <v>104</v>
      </c>
      <c r="B18" s="1091">
        <v>0</v>
      </c>
      <c r="C18" s="660">
        <v>0</v>
      </c>
      <c r="D18" s="656"/>
      <c r="E18" s="657" t="s">
        <v>105</v>
      </c>
      <c r="F18" s="1091">
        <v>0</v>
      </c>
      <c r="G18" s="660">
        <v>0</v>
      </c>
    </row>
    <row r="19" spans="1:7" ht="19.5" customHeight="1" x14ac:dyDescent="0.25">
      <c r="A19" s="661" t="s">
        <v>106</v>
      </c>
      <c r="B19" s="1090">
        <v>682.17</v>
      </c>
      <c r="C19" s="1090">
        <v>682.17</v>
      </c>
      <c r="D19" s="656"/>
      <c r="E19" s="655" t="s">
        <v>107</v>
      </c>
      <c r="F19" s="1092">
        <f>SUM(F20:F22)</f>
        <v>0</v>
      </c>
      <c r="G19" s="628">
        <f>SUM(G20:G22)</f>
        <v>0</v>
      </c>
    </row>
    <row r="20" spans="1:7" ht="15.75" customHeight="1" x14ac:dyDescent="0.25">
      <c r="A20" s="661" t="s">
        <v>108</v>
      </c>
      <c r="B20" s="1090">
        <v>117641.48</v>
      </c>
      <c r="C20" s="1090">
        <v>27351.65</v>
      </c>
      <c r="D20" s="656"/>
      <c r="E20" s="657" t="s">
        <v>109</v>
      </c>
      <c r="F20" s="1091">
        <v>0</v>
      </c>
      <c r="G20" s="660">
        <v>0</v>
      </c>
    </row>
    <row r="21" spans="1:7" ht="25.5" x14ac:dyDescent="0.25">
      <c r="A21" s="661" t="s">
        <v>110</v>
      </c>
      <c r="B21" s="1090">
        <v>3635.16</v>
      </c>
      <c r="C21" s="1090">
        <v>3635.16</v>
      </c>
      <c r="D21" s="656"/>
      <c r="E21" s="657" t="s">
        <v>111</v>
      </c>
      <c r="F21" s="1091">
        <v>0</v>
      </c>
      <c r="G21" s="660">
        <v>0</v>
      </c>
    </row>
    <row r="22" spans="1:7" ht="14.25" customHeight="1" x14ac:dyDescent="0.25">
      <c r="A22" s="661" t="s">
        <v>112</v>
      </c>
      <c r="B22" s="1091">
        <v>0</v>
      </c>
      <c r="C22" s="1091">
        <v>0</v>
      </c>
      <c r="D22" s="656"/>
      <c r="E22" s="657" t="s">
        <v>113</v>
      </c>
      <c r="F22" s="1091">
        <v>0</v>
      </c>
      <c r="G22" s="660">
        <v>0</v>
      </c>
    </row>
    <row r="23" spans="1:7" ht="25.5" x14ac:dyDescent="0.25">
      <c r="A23" s="661" t="s">
        <v>114</v>
      </c>
      <c r="B23" s="1091">
        <v>0</v>
      </c>
      <c r="C23" s="1091">
        <v>0</v>
      </c>
      <c r="D23" s="656"/>
      <c r="E23" s="655" t="s">
        <v>115</v>
      </c>
      <c r="F23" s="1092">
        <f>SUM(F24:F25)</f>
        <v>0</v>
      </c>
      <c r="G23" s="628">
        <f>SUM(G24:G25)</f>
        <v>0</v>
      </c>
    </row>
    <row r="24" spans="1:7" ht="25.5" x14ac:dyDescent="0.25">
      <c r="A24" s="661" t="s">
        <v>116</v>
      </c>
      <c r="B24" s="1183">
        <v>0</v>
      </c>
      <c r="C24" s="1090">
        <v>0</v>
      </c>
      <c r="D24" s="656"/>
      <c r="E24" s="657" t="s">
        <v>117</v>
      </c>
      <c r="F24" s="1091">
        <v>0</v>
      </c>
      <c r="G24" s="660">
        <v>0</v>
      </c>
    </row>
    <row r="25" spans="1:7" ht="25.5" x14ac:dyDescent="0.25">
      <c r="A25" s="572" t="s">
        <v>118</v>
      </c>
      <c r="B25" s="1092">
        <f>SUM(B26:B30)</f>
        <v>12343231.779999999</v>
      </c>
      <c r="C25" s="628">
        <f>SUM(C26:C30)</f>
        <v>6133347.3600000003</v>
      </c>
      <c r="D25" s="656"/>
      <c r="E25" s="657" t="s">
        <v>119</v>
      </c>
      <c r="F25" s="1091">
        <v>0</v>
      </c>
      <c r="G25" s="660">
        <v>0</v>
      </c>
    </row>
    <row r="26" spans="1:7" ht="25.5" x14ac:dyDescent="0.25">
      <c r="A26" s="661" t="s">
        <v>120</v>
      </c>
      <c r="B26" s="1091">
        <v>2650</v>
      </c>
      <c r="C26" s="660">
        <v>0</v>
      </c>
      <c r="D26" s="656"/>
      <c r="E26" s="657" t="s">
        <v>121</v>
      </c>
      <c r="F26" s="1091">
        <v>0</v>
      </c>
      <c r="G26" s="660">
        <v>0</v>
      </c>
    </row>
    <row r="27" spans="1:7" ht="25.5" x14ac:dyDescent="0.25">
      <c r="A27" s="661" t="s">
        <v>122</v>
      </c>
      <c r="B27" s="1091">
        <v>0</v>
      </c>
      <c r="C27" s="660">
        <v>0</v>
      </c>
      <c r="D27" s="656"/>
      <c r="E27" s="655" t="s">
        <v>123</v>
      </c>
      <c r="F27" s="1092">
        <f>SUM(F28:F30)</f>
        <v>0</v>
      </c>
      <c r="G27" s="628">
        <f>SUM(G28:G30)</f>
        <v>0</v>
      </c>
    </row>
    <row r="28" spans="1:7" ht="25.5" x14ac:dyDescent="0.25">
      <c r="A28" s="661" t="s">
        <v>124</v>
      </c>
      <c r="B28" s="1091">
        <v>0</v>
      </c>
      <c r="C28" s="660">
        <v>0</v>
      </c>
      <c r="D28" s="656"/>
      <c r="E28" s="657" t="s">
        <v>125</v>
      </c>
      <c r="F28" s="1091">
        <v>0</v>
      </c>
      <c r="G28" s="660">
        <v>0</v>
      </c>
    </row>
    <row r="29" spans="1:7" ht="17.25" customHeight="1" x14ac:dyDescent="0.25">
      <c r="A29" s="661" t="s">
        <v>126</v>
      </c>
      <c r="B29" s="1091">
        <v>0</v>
      </c>
      <c r="C29" s="660">
        <v>0</v>
      </c>
      <c r="D29" s="656"/>
      <c r="E29" s="657" t="s">
        <v>127</v>
      </c>
      <c r="F29" s="1091">
        <v>0</v>
      </c>
      <c r="G29" s="660">
        <v>0</v>
      </c>
    </row>
    <row r="30" spans="1:7" x14ac:dyDescent="0.25">
      <c r="A30" s="661" t="s">
        <v>128</v>
      </c>
      <c r="B30" s="1183">
        <v>12340581.779999999</v>
      </c>
      <c r="C30" s="1090">
        <v>6133347.3600000003</v>
      </c>
      <c r="D30" s="656"/>
      <c r="E30" s="657" t="s">
        <v>129</v>
      </c>
      <c r="F30" s="1091">
        <v>0</v>
      </c>
      <c r="G30" s="660">
        <v>0</v>
      </c>
    </row>
    <row r="31" spans="1:7" ht="25.5" x14ac:dyDescent="0.25">
      <c r="A31" s="572" t="s">
        <v>130</v>
      </c>
      <c r="B31" s="1092">
        <f>SUM(B32:B36)</f>
        <v>0</v>
      </c>
      <c r="C31" s="628">
        <f>SUM(C32:C36)</f>
        <v>0</v>
      </c>
      <c r="D31" s="656"/>
      <c r="E31" s="655" t="s">
        <v>131</v>
      </c>
      <c r="F31" s="1092">
        <f>SUM(F32:F37)</f>
        <v>0</v>
      </c>
      <c r="G31" s="628">
        <f>SUM(G32:G37)</f>
        <v>0</v>
      </c>
    </row>
    <row r="32" spans="1:7" ht="12.75" customHeight="1" x14ac:dyDescent="0.25">
      <c r="A32" s="661" t="s">
        <v>132</v>
      </c>
      <c r="B32" s="1091">
        <v>0</v>
      </c>
      <c r="C32" s="660">
        <v>0</v>
      </c>
      <c r="D32" s="656"/>
      <c r="E32" s="657" t="s">
        <v>133</v>
      </c>
      <c r="F32" s="1091">
        <v>0</v>
      </c>
      <c r="G32" s="660">
        <v>0</v>
      </c>
    </row>
    <row r="33" spans="1:7" ht="12.75" customHeight="1" x14ac:dyDescent="0.25">
      <c r="A33" s="661" t="s">
        <v>134</v>
      </c>
      <c r="B33" s="1091">
        <v>0</v>
      </c>
      <c r="C33" s="660">
        <v>0</v>
      </c>
      <c r="D33" s="656"/>
      <c r="E33" s="657" t="s">
        <v>135</v>
      </c>
      <c r="F33" s="660">
        <v>0</v>
      </c>
      <c r="G33" s="660">
        <v>0</v>
      </c>
    </row>
    <row r="34" spans="1:7" ht="12.75" customHeight="1" x14ac:dyDescent="0.25">
      <c r="A34" s="661" t="s">
        <v>136</v>
      </c>
      <c r="B34" s="1091">
        <v>0</v>
      </c>
      <c r="C34" s="660">
        <v>0</v>
      </c>
      <c r="D34" s="656"/>
      <c r="E34" s="657" t="s">
        <v>137</v>
      </c>
      <c r="F34" s="660">
        <v>0</v>
      </c>
      <c r="G34" s="660">
        <v>0</v>
      </c>
    </row>
    <row r="35" spans="1:7" ht="25.5" x14ac:dyDescent="0.25">
      <c r="A35" s="661" t="s">
        <v>138</v>
      </c>
      <c r="B35" s="1091">
        <v>0</v>
      </c>
      <c r="C35" s="660">
        <v>0</v>
      </c>
      <c r="D35" s="664"/>
      <c r="E35" s="657" t="s">
        <v>139</v>
      </c>
      <c r="F35" s="660">
        <v>0</v>
      </c>
      <c r="G35" s="660">
        <v>0</v>
      </c>
    </row>
    <row r="36" spans="1:7" ht="25.5" x14ac:dyDescent="0.25">
      <c r="A36" s="661" t="s">
        <v>140</v>
      </c>
      <c r="B36" s="1091">
        <v>0</v>
      </c>
      <c r="C36" s="660">
        <v>0</v>
      </c>
      <c r="D36" s="656"/>
      <c r="E36" s="657" t="s">
        <v>141</v>
      </c>
      <c r="F36" s="660">
        <v>0</v>
      </c>
      <c r="G36" s="660">
        <v>0</v>
      </c>
    </row>
    <row r="37" spans="1:7" ht="16.5" customHeight="1" thickBot="1" x14ac:dyDescent="0.3">
      <c r="A37" s="583" t="s">
        <v>142</v>
      </c>
      <c r="B37" s="1093">
        <v>0</v>
      </c>
      <c r="C37" s="663">
        <v>0</v>
      </c>
      <c r="D37" s="653"/>
      <c r="E37" s="654" t="s">
        <v>143</v>
      </c>
      <c r="F37" s="663">
        <v>0</v>
      </c>
      <c r="G37" s="663">
        <v>0</v>
      </c>
    </row>
    <row r="38" spans="1:7" ht="25.5" x14ac:dyDescent="0.25">
      <c r="A38" s="679" t="s">
        <v>144</v>
      </c>
      <c r="B38" s="1094">
        <f>SUM(B39:B40)</f>
        <v>0</v>
      </c>
      <c r="C38" s="680">
        <f>SUM(C39:C40)</f>
        <v>0</v>
      </c>
      <c r="D38" s="681"/>
      <c r="E38" s="682" t="s">
        <v>145</v>
      </c>
      <c r="F38" s="680">
        <f>SUM(F39:F41)</f>
        <v>0</v>
      </c>
      <c r="G38" s="680">
        <f>SUM(G39:G41)</f>
        <v>0</v>
      </c>
    </row>
    <row r="39" spans="1:7" ht="25.5" x14ac:dyDescent="0.25">
      <c r="A39" s="661" t="s">
        <v>146</v>
      </c>
      <c r="B39" s="1091">
        <v>0</v>
      </c>
      <c r="C39" s="660">
        <v>0</v>
      </c>
      <c r="D39" s="664"/>
      <c r="E39" s="657" t="s">
        <v>147</v>
      </c>
      <c r="F39" s="660">
        <v>0</v>
      </c>
      <c r="G39" s="660">
        <v>0</v>
      </c>
    </row>
    <row r="40" spans="1:7" x14ac:dyDescent="0.25">
      <c r="A40" s="661" t="s">
        <v>148</v>
      </c>
      <c r="B40" s="1091">
        <v>0</v>
      </c>
      <c r="C40" s="660">
        <v>0</v>
      </c>
      <c r="D40" s="656"/>
      <c r="E40" s="657" t="s">
        <v>149</v>
      </c>
      <c r="F40" s="660">
        <v>0</v>
      </c>
      <c r="G40" s="660">
        <v>0</v>
      </c>
    </row>
    <row r="41" spans="1:7" ht="12" customHeight="1" x14ac:dyDescent="0.25">
      <c r="A41" s="572" t="s">
        <v>150</v>
      </c>
      <c r="B41" s="1092">
        <f>SUM(B42:B45)</f>
        <v>0</v>
      </c>
      <c r="C41" s="628">
        <f>SUM(C42:C45)</f>
        <v>0</v>
      </c>
      <c r="D41" s="656"/>
      <c r="E41" s="657" t="s">
        <v>151</v>
      </c>
      <c r="F41" s="660">
        <v>0</v>
      </c>
      <c r="G41" s="660">
        <v>0</v>
      </c>
    </row>
    <row r="42" spans="1:7" ht="12" customHeight="1" x14ac:dyDescent="0.25">
      <c r="A42" s="661" t="s">
        <v>152</v>
      </c>
      <c r="B42" s="1091">
        <v>0</v>
      </c>
      <c r="C42" s="660">
        <v>0</v>
      </c>
      <c r="D42" s="656"/>
      <c r="E42" s="655" t="s">
        <v>153</v>
      </c>
      <c r="F42" s="640">
        <f>SUM(F43:F45)</f>
        <v>116301.72</v>
      </c>
      <c r="G42" s="640">
        <f>SUM(G43:G45)</f>
        <v>116301.72</v>
      </c>
    </row>
    <row r="43" spans="1:7" ht="12" customHeight="1" x14ac:dyDescent="0.25">
      <c r="A43" s="661" t="s">
        <v>154</v>
      </c>
      <c r="B43" s="1091">
        <v>0</v>
      </c>
      <c r="C43" s="660">
        <v>0</v>
      </c>
      <c r="D43" s="656"/>
      <c r="E43" s="657" t="s">
        <v>155</v>
      </c>
      <c r="F43" s="660">
        <v>116301.72</v>
      </c>
      <c r="G43" s="660">
        <v>116301.72</v>
      </c>
    </row>
    <row r="44" spans="1:7" ht="25.5" x14ac:dyDescent="0.25">
      <c r="A44" s="661" t="s">
        <v>156</v>
      </c>
      <c r="B44" s="1091">
        <v>0</v>
      </c>
      <c r="C44" s="660">
        <v>0</v>
      </c>
      <c r="D44" s="656"/>
      <c r="E44" s="657" t="s">
        <v>157</v>
      </c>
      <c r="F44" s="660">
        <v>0</v>
      </c>
      <c r="G44" s="660">
        <v>0</v>
      </c>
    </row>
    <row r="45" spans="1:7" ht="13.5" customHeight="1" x14ac:dyDescent="0.25">
      <c r="A45" s="661" t="s">
        <v>158</v>
      </c>
      <c r="B45" s="1091">
        <v>0</v>
      </c>
      <c r="C45" s="660">
        <v>0</v>
      </c>
      <c r="D45" s="656"/>
      <c r="E45" s="657" t="s">
        <v>159</v>
      </c>
      <c r="F45" s="660">
        <v>0</v>
      </c>
      <c r="G45" s="660">
        <v>0</v>
      </c>
    </row>
    <row r="46" spans="1:7" ht="24" customHeight="1" x14ac:dyDescent="0.25">
      <c r="A46" s="572" t="s">
        <v>160</v>
      </c>
      <c r="B46" s="1092">
        <f>+B41+B37+B38+B31+B25+B17+B9</f>
        <v>15807712.359999999</v>
      </c>
      <c r="C46" s="628">
        <f>+C41+C37+C38+C31+C25+C17+C9</f>
        <v>8512217.0100000016</v>
      </c>
      <c r="D46" s="656"/>
      <c r="E46" s="655" t="s">
        <v>161</v>
      </c>
      <c r="F46" s="628">
        <f>+F42+F38+F31+F27+F26+F23+F19+F9</f>
        <v>20461436.009999998</v>
      </c>
      <c r="G46" s="628">
        <f>+G42+G38+G31+G27+G26+G23+G19+G9</f>
        <v>13453808.76</v>
      </c>
    </row>
    <row r="47" spans="1:7" x14ac:dyDescent="0.25">
      <c r="A47" s="572" t="s">
        <v>44</v>
      </c>
      <c r="B47" s="1095"/>
      <c r="C47" s="662"/>
      <c r="D47" s="664"/>
      <c r="E47" s="655" t="s">
        <v>45</v>
      </c>
      <c r="F47" s="662"/>
      <c r="G47" s="662"/>
    </row>
    <row r="48" spans="1:7" ht="12.75" customHeight="1" x14ac:dyDescent="0.25">
      <c r="A48" s="661" t="s">
        <v>162</v>
      </c>
      <c r="B48" s="1091">
        <v>0</v>
      </c>
      <c r="C48" s="660">
        <v>0</v>
      </c>
      <c r="D48" s="656"/>
      <c r="E48" s="657" t="s">
        <v>163</v>
      </c>
      <c r="F48" s="660">
        <v>0</v>
      </c>
      <c r="G48" s="660">
        <v>0</v>
      </c>
    </row>
    <row r="49" spans="1:8" ht="12.75" customHeight="1" x14ac:dyDescent="0.25">
      <c r="A49" s="661" t="s">
        <v>164</v>
      </c>
      <c r="B49" s="1091">
        <v>0</v>
      </c>
      <c r="C49" s="660">
        <v>0</v>
      </c>
      <c r="D49" s="656"/>
      <c r="E49" s="657" t="s">
        <v>165</v>
      </c>
      <c r="F49" s="660">
        <v>0</v>
      </c>
      <c r="G49" s="660">
        <v>0</v>
      </c>
    </row>
    <row r="50" spans="1:8" ht="15.75" customHeight="1" x14ac:dyDescent="0.25">
      <c r="A50" s="661" t="s">
        <v>166</v>
      </c>
      <c r="B50" s="1091">
        <v>0</v>
      </c>
      <c r="C50" s="660">
        <v>0</v>
      </c>
      <c r="D50" s="656"/>
      <c r="E50" s="657" t="s">
        <v>167</v>
      </c>
      <c r="F50" s="660">
        <v>0</v>
      </c>
      <c r="G50" s="660">
        <v>0</v>
      </c>
    </row>
    <row r="51" spans="1:8" ht="12" customHeight="1" x14ac:dyDescent="0.25">
      <c r="A51" s="661" t="s">
        <v>168</v>
      </c>
      <c r="B51" s="1096">
        <f>'CPCA-I-01'!B24</f>
        <v>7150778.25</v>
      </c>
      <c r="C51" s="660">
        <v>6803488.3499999996</v>
      </c>
      <c r="D51" s="656"/>
      <c r="E51" s="657" t="s">
        <v>169</v>
      </c>
      <c r="F51" s="660">
        <v>0</v>
      </c>
      <c r="G51" s="660">
        <v>0</v>
      </c>
    </row>
    <row r="52" spans="1:8" ht="25.5" x14ac:dyDescent="0.25">
      <c r="A52" s="661" t="s">
        <v>170</v>
      </c>
      <c r="B52" s="1096">
        <f>'CPCA-I-01'!B25</f>
        <v>157220.53</v>
      </c>
      <c r="C52" s="660">
        <v>157220.53</v>
      </c>
      <c r="D52" s="656"/>
      <c r="E52" s="657" t="s">
        <v>171</v>
      </c>
      <c r="F52" s="660">
        <v>0</v>
      </c>
      <c r="G52" s="660">
        <v>0</v>
      </c>
    </row>
    <row r="53" spans="1:8" x14ac:dyDescent="0.25">
      <c r="A53" s="661" t="s">
        <v>172</v>
      </c>
      <c r="B53" s="1096">
        <f>'CPCA-I-01'!B26</f>
        <v>-5562240.3200000003</v>
      </c>
      <c r="C53" s="660">
        <v>-5562240.3200000003</v>
      </c>
      <c r="D53" s="658"/>
      <c r="E53" s="657" t="s">
        <v>173</v>
      </c>
      <c r="F53" s="660">
        <v>0</v>
      </c>
      <c r="G53" s="660">
        <v>0</v>
      </c>
    </row>
    <row r="54" spans="1:8" ht="11.25" customHeight="1" x14ac:dyDescent="0.25">
      <c r="A54" s="661" t="s">
        <v>174</v>
      </c>
      <c r="B54" s="1091">
        <v>0</v>
      </c>
      <c r="C54" s="660">
        <v>0</v>
      </c>
      <c r="D54" s="658"/>
      <c r="E54" s="655"/>
      <c r="F54" s="662"/>
      <c r="G54" s="662"/>
    </row>
    <row r="55" spans="1:8" ht="19.5" customHeight="1" x14ac:dyDescent="0.25">
      <c r="A55" s="661" t="s">
        <v>175</v>
      </c>
      <c r="B55" s="1091">
        <v>0</v>
      </c>
      <c r="C55" s="660">
        <v>0</v>
      </c>
      <c r="D55" s="658"/>
      <c r="E55" s="655" t="s">
        <v>176</v>
      </c>
      <c r="F55" s="628">
        <f>SUM(F47:F53)</f>
        <v>0</v>
      </c>
      <c r="G55" s="628">
        <f>SUM(G47:G53)</f>
        <v>0</v>
      </c>
    </row>
    <row r="56" spans="1:8" ht="13.5" customHeight="1" x14ac:dyDescent="0.25">
      <c r="A56" s="661" t="s">
        <v>177</v>
      </c>
      <c r="B56" s="1091">
        <v>0</v>
      </c>
      <c r="C56" s="660">
        <v>0</v>
      </c>
      <c r="D56" s="656"/>
      <c r="E56" s="574"/>
      <c r="F56" s="662"/>
      <c r="G56" s="662"/>
    </row>
    <row r="57" spans="1:8" ht="25.5" x14ac:dyDescent="0.25">
      <c r="A57" s="572" t="s">
        <v>178</v>
      </c>
      <c r="B57" s="1092">
        <f>SUM(B48:B56)</f>
        <v>1745758.46</v>
      </c>
      <c r="C57" s="628">
        <f>SUM(C48:C56)</f>
        <v>1398468.5599999996</v>
      </c>
      <c r="D57" s="656"/>
      <c r="E57" s="655" t="s">
        <v>179</v>
      </c>
      <c r="F57" s="628">
        <f>+F46+F55</f>
        <v>20461436.009999998</v>
      </c>
      <c r="G57" s="628">
        <f>+G46+G55</f>
        <v>13453808.76</v>
      </c>
    </row>
    <row r="58" spans="1:8" ht="14.25" customHeight="1" x14ac:dyDescent="0.25">
      <c r="A58" s="661"/>
      <c r="B58" s="1095"/>
      <c r="C58" s="662"/>
      <c r="D58" s="658"/>
      <c r="E58" s="655" t="s">
        <v>180</v>
      </c>
      <c r="F58" s="662"/>
      <c r="G58" s="662"/>
    </row>
    <row r="59" spans="1:8" ht="15" customHeight="1" x14ac:dyDescent="0.25">
      <c r="A59" s="572" t="s">
        <v>181</v>
      </c>
      <c r="B59" s="1092">
        <f>+B46+B57</f>
        <v>17553470.82</v>
      </c>
      <c r="C59" s="628">
        <f>+C46+C57</f>
        <v>9910685.5700000003</v>
      </c>
      <c r="D59" s="656"/>
      <c r="E59" s="655" t="s">
        <v>182</v>
      </c>
      <c r="F59" s="628">
        <f>SUM(F60:F62)</f>
        <v>195600</v>
      </c>
      <c r="G59" s="628">
        <f>SUM(G60:G62)</f>
        <v>195600</v>
      </c>
      <c r="H59" s="397" t="str">
        <f>IF(C59&lt;&gt;'CPCA-I-01'!C33,"ERROR!!!!! ELTOTAL DE ACTIVO, NO CONCUERDA CON LO REPORTADO EN EL ESTADO DE SITUACION FINANCIERA","")</f>
        <v/>
      </c>
    </row>
    <row r="60" spans="1:8" ht="12" customHeight="1" x14ac:dyDescent="0.25">
      <c r="A60" s="661"/>
      <c r="B60" s="1097"/>
      <c r="C60" s="665"/>
      <c r="D60" s="656"/>
      <c r="E60" s="657" t="s">
        <v>183</v>
      </c>
      <c r="F60" s="660">
        <v>0</v>
      </c>
      <c r="G60" s="660">
        <v>0</v>
      </c>
      <c r="H60" s="397" t="str">
        <f>IF(B59&lt;&gt;'CPCA-I-01'!B33,"ERROR!!!!! ELTOTAL DE ACTIVO, NO CONCUERDA CON LO REPORTADO EN EL ESTADO DE SITUACION FINANCIERA","")</f>
        <v/>
      </c>
    </row>
    <row r="61" spans="1:8" ht="11.25" customHeight="1" x14ac:dyDescent="0.25">
      <c r="A61" s="661"/>
      <c r="B61" s="1097"/>
      <c r="C61" s="665"/>
      <c r="D61" s="656"/>
      <c r="E61" s="657" t="s">
        <v>184</v>
      </c>
      <c r="F61" s="660">
        <v>195600</v>
      </c>
      <c r="G61" s="660">
        <v>195600</v>
      </c>
    </row>
    <row r="62" spans="1:8" ht="10.5" customHeight="1" x14ac:dyDescent="0.25">
      <c r="A62" s="661"/>
      <c r="B62" s="1097"/>
      <c r="C62" s="665"/>
      <c r="D62" s="656"/>
      <c r="E62" s="657" t="s">
        <v>185</v>
      </c>
      <c r="F62" s="660">
        <v>0</v>
      </c>
      <c r="G62" s="660">
        <v>0</v>
      </c>
    </row>
    <row r="63" spans="1:8" ht="25.5" x14ac:dyDescent="0.25">
      <c r="A63" s="661"/>
      <c r="B63" s="1097"/>
      <c r="C63" s="665"/>
      <c r="D63" s="656"/>
      <c r="E63" s="655" t="s">
        <v>186</v>
      </c>
      <c r="F63" s="628">
        <f>SUM(F64:F68)</f>
        <v>-3103565.19</v>
      </c>
      <c r="G63" s="628">
        <f>SUM(G64:G68)</f>
        <v>-3738723.1900000004</v>
      </c>
    </row>
    <row r="64" spans="1:8" x14ac:dyDescent="0.25">
      <c r="A64" s="661"/>
      <c r="B64" s="1097"/>
      <c r="C64" s="665"/>
      <c r="D64" s="656"/>
      <c r="E64" s="657" t="s">
        <v>187</v>
      </c>
      <c r="F64" s="660">
        <f>'CPCA-I-01'!F41</f>
        <v>2091712.01</v>
      </c>
      <c r="G64" s="660">
        <f>'CPCA-I-01'!G41</f>
        <v>1816577.86</v>
      </c>
    </row>
    <row r="65" spans="1:8" x14ac:dyDescent="0.25">
      <c r="A65" s="661"/>
      <c r="B65" s="1097"/>
      <c r="C65" s="665"/>
      <c r="D65" s="656"/>
      <c r="E65" s="657" t="s">
        <v>188</v>
      </c>
      <c r="F65" s="660">
        <f>'CPCA-I-01'!F42</f>
        <v>-1209296.5900000001</v>
      </c>
      <c r="G65" s="660">
        <f>'CPCA-I-01'!G42</f>
        <v>-3025874.45</v>
      </c>
    </row>
    <row r="66" spans="1:8" ht="12.75" customHeight="1" x14ac:dyDescent="0.25">
      <c r="A66" s="661"/>
      <c r="B66" s="1097"/>
      <c r="C66" s="665"/>
      <c r="D66" s="656"/>
      <c r="E66" s="657" t="s">
        <v>189</v>
      </c>
      <c r="F66" s="660">
        <v>0</v>
      </c>
      <c r="G66" s="660">
        <v>0</v>
      </c>
    </row>
    <row r="67" spans="1:8" ht="12" customHeight="1" x14ac:dyDescent="0.25">
      <c r="A67" s="661"/>
      <c r="B67" s="1097"/>
      <c r="C67" s="665"/>
      <c r="D67" s="656"/>
      <c r="E67" s="657" t="s">
        <v>190</v>
      </c>
      <c r="F67" s="660">
        <v>0</v>
      </c>
      <c r="G67" s="660">
        <v>0</v>
      </c>
    </row>
    <row r="68" spans="1:8" ht="17.25" customHeight="1" x14ac:dyDescent="0.25">
      <c r="A68" s="661"/>
      <c r="B68" s="1097"/>
      <c r="C68" s="665"/>
      <c r="D68" s="656"/>
      <c r="E68" s="657" t="s">
        <v>191</v>
      </c>
      <c r="F68" s="660">
        <f>'CPCA-I-01'!F45</f>
        <v>-3985980.61</v>
      </c>
      <c r="G68" s="660">
        <f>'CPCA-I-01'!G45</f>
        <v>-2529426.6</v>
      </c>
    </row>
    <row r="69" spans="1:8" ht="25.5" x14ac:dyDescent="0.25">
      <c r="A69" s="661"/>
      <c r="B69" s="665"/>
      <c r="C69" s="665"/>
      <c r="D69" s="656"/>
      <c r="E69" s="655" t="s">
        <v>192</v>
      </c>
      <c r="F69" s="628">
        <f>SUM(F70:F71)</f>
        <v>0</v>
      </c>
      <c r="G69" s="628">
        <f>SUM(G70:G71)</f>
        <v>0</v>
      </c>
    </row>
    <row r="70" spans="1:8" x14ac:dyDescent="0.25">
      <c r="A70" s="661"/>
      <c r="B70" s="665"/>
      <c r="C70" s="665"/>
      <c r="D70" s="656"/>
      <c r="E70" s="657" t="s">
        <v>193</v>
      </c>
      <c r="F70" s="660">
        <v>0</v>
      </c>
      <c r="G70" s="660">
        <v>0</v>
      </c>
    </row>
    <row r="71" spans="1:8" ht="14.25" customHeight="1" x14ac:dyDescent="0.25">
      <c r="A71" s="661"/>
      <c r="B71" s="665"/>
      <c r="C71" s="665"/>
      <c r="D71" s="656"/>
      <c r="E71" s="657" t="s">
        <v>194</v>
      </c>
      <c r="F71" s="660">
        <v>0</v>
      </c>
      <c r="G71" s="660">
        <v>0</v>
      </c>
    </row>
    <row r="72" spans="1:8" ht="15" customHeight="1" x14ac:dyDescent="0.25">
      <c r="A72" s="661"/>
      <c r="B72" s="665"/>
      <c r="C72" s="665"/>
      <c r="D72" s="656"/>
      <c r="E72" s="655" t="s">
        <v>195</v>
      </c>
      <c r="F72" s="628">
        <f>+F59+F63+F69</f>
        <v>-2907965.19</v>
      </c>
      <c r="G72" s="628">
        <f>+G59+G63+G69</f>
        <v>-3543123.1900000004</v>
      </c>
    </row>
    <row r="73" spans="1:8" ht="19.5" customHeight="1" thickBot="1" x14ac:dyDescent="0.3">
      <c r="A73" s="583"/>
      <c r="B73" s="652"/>
      <c r="C73" s="652"/>
      <c r="D73" s="653"/>
      <c r="E73" s="584" t="s">
        <v>196</v>
      </c>
      <c r="F73" s="711">
        <f>+F57+F72</f>
        <v>17553470.819999997</v>
      </c>
      <c r="G73" s="666">
        <f>+G57+G72</f>
        <v>9910685.5700000003</v>
      </c>
      <c r="H73" s="397" t="str">
        <f>IF((G73-'CPCA-I-01'!G52)&gt;0.9,"ERROR!!!!! ELTOTAL DE DEL PATRIMONIO Y HACIENDA PUBLICA, NO CONCUERDA CON LO REPORTADO EN EL ESTADO DE SITUACION FINANCIERA","")</f>
        <v/>
      </c>
    </row>
    <row r="74" spans="1:8" x14ac:dyDescent="0.25">
      <c r="H74" t="str">
        <f>IF(F73&lt;&gt;'CPCA-I-01'!F52,"ERROR!!!!! ELTOTAL DE DEL PATRIMONIO Y HACIENDA PUBLICA, NO CONCUERDA CON LO REPORTADO EN EL ESTADO DE SITUACION FINANCIERA","")</f>
        <v/>
      </c>
    </row>
  </sheetData>
  <sheetProtection formatColumns="0" formatRows="0" insertHyperlinks="0"/>
  <mergeCells count="4">
    <mergeCell ref="A2:G2"/>
    <mergeCell ref="A4:G4"/>
    <mergeCell ref="A5:G5"/>
    <mergeCell ref="A1:G1"/>
  </mergeCells>
  <printOptions horizontalCentered="1"/>
  <pageMargins left="0.23622047244094491" right="0.23622047244094491" top="0.23622047244094491" bottom="0.23622047244094491" header="0.31496062992125984" footer="0.31496062992125984"/>
  <pageSetup scale="8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I38"/>
  <sheetViews>
    <sheetView zoomScaleNormal="100" zoomScaleSheetLayoutView="90" workbookViewId="0">
      <selection activeCell="D14" sqref="D14"/>
    </sheetView>
  </sheetViews>
  <sheetFormatPr baseColWidth="10" defaultColWidth="11.28515625" defaultRowHeight="16.5" x14ac:dyDescent="0.3"/>
  <cols>
    <col min="1" max="1" width="4.85546875" style="111" customWidth="1"/>
    <col min="2" max="2" width="41" style="93" customWidth="1"/>
    <col min="3" max="4" width="25.7109375" style="93" customWidth="1"/>
    <col min="5" max="16384" width="11.28515625" style="93"/>
  </cols>
  <sheetData>
    <row r="1" spans="1:6" x14ac:dyDescent="0.3">
      <c r="A1" s="329"/>
      <c r="B1" s="1501" t="s">
        <v>1028</v>
      </c>
      <c r="C1" s="1501"/>
      <c r="D1" s="1501"/>
    </row>
    <row r="2" spans="1:6" x14ac:dyDescent="0.3">
      <c r="A2" s="93"/>
      <c r="B2" s="1505" t="s">
        <v>761</v>
      </c>
      <c r="C2" s="1505"/>
      <c r="D2" s="1505"/>
      <c r="F2" s="306"/>
    </row>
    <row r="3" spans="1:6" x14ac:dyDescent="0.3">
      <c r="B3" s="1214"/>
      <c r="C3" s="1214"/>
      <c r="D3" s="1214"/>
    </row>
    <row r="4" spans="1:6" x14ac:dyDescent="0.3">
      <c r="B4" s="1229" t="str">
        <f>'CPCA-I-03'!A4</f>
        <v>Del 01 de ENERO al 31 de DICIEMBRE de 2024</v>
      </c>
      <c r="C4" s="1229"/>
      <c r="D4" s="1229"/>
    </row>
    <row r="5" spans="1:6" x14ac:dyDescent="0.3">
      <c r="A5" s="756"/>
      <c r="B5" s="1513" t="s">
        <v>762</v>
      </c>
      <c r="C5" s="1513"/>
      <c r="D5" s="226"/>
    </row>
    <row r="6" spans="1:6" ht="6.75" customHeight="1" thickBot="1" x14ac:dyDescent="0.35"/>
    <row r="7" spans="1:6" s="191" customFormat="1" ht="27.95" customHeight="1" x14ac:dyDescent="0.25">
      <c r="A7" s="1506" t="s">
        <v>750</v>
      </c>
      <c r="B7" s="1507"/>
      <c r="C7" s="1514" t="s">
        <v>399</v>
      </c>
      <c r="D7" s="1516" t="s">
        <v>630</v>
      </c>
    </row>
    <row r="8" spans="1:6" s="191" customFormat="1" ht="4.5" customHeight="1" thickBot="1" x14ac:dyDescent="0.3">
      <c r="A8" s="1508"/>
      <c r="B8" s="1509"/>
      <c r="C8" s="1515"/>
      <c r="D8" s="1517"/>
    </row>
    <row r="9" spans="1:6" s="191" customFormat="1" ht="21" customHeight="1" x14ac:dyDescent="0.25">
      <c r="A9" s="1510" t="s">
        <v>756</v>
      </c>
      <c r="B9" s="1511"/>
      <c r="C9" s="1511"/>
      <c r="D9" s="1512"/>
    </row>
    <row r="10" spans="1:6" s="191" customFormat="1" ht="18" customHeight="1" x14ac:dyDescent="0.25">
      <c r="A10" s="313">
        <v>1</v>
      </c>
      <c r="B10" s="314"/>
      <c r="C10" s="330"/>
      <c r="D10" s="331"/>
    </row>
    <row r="11" spans="1:6" s="191" customFormat="1" ht="18" customHeight="1" x14ac:dyDescent="0.25">
      <c r="A11" s="313">
        <v>2</v>
      </c>
      <c r="B11" s="314"/>
      <c r="C11" s="330"/>
      <c r="D11" s="331"/>
    </row>
    <row r="12" spans="1:6" s="191" customFormat="1" ht="18" customHeight="1" x14ac:dyDescent="0.25">
      <c r="A12" s="313">
        <v>3</v>
      </c>
      <c r="B12" s="314"/>
      <c r="C12" s="330"/>
      <c r="D12" s="331"/>
    </row>
    <row r="13" spans="1:6" s="191" customFormat="1" ht="18" customHeight="1" x14ac:dyDescent="0.25">
      <c r="A13" s="313">
        <v>4</v>
      </c>
      <c r="B13" s="314"/>
      <c r="C13" s="330"/>
      <c r="D13" s="331"/>
    </row>
    <row r="14" spans="1:6" s="191" customFormat="1" ht="18" customHeight="1" x14ac:dyDescent="0.25">
      <c r="A14" s="313">
        <v>5</v>
      </c>
      <c r="B14" s="314"/>
      <c r="C14" s="330"/>
      <c r="D14" s="331"/>
    </row>
    <row r="15" spans="1:6" s="191" customFormat="1" ht="18" customHeight="1" x14ac:dyDescent="0.25">
      <c r="A15" s="313">
        <v>6</v>
      </c>
      <c r="B15" s="314"/>
      <c r="C15" s="330"/>
      <c r="D15" s="331"/>
    </row>
    <row r="16" spans="1:6" s="191" customFormat="1" ht="18" customHeight="1" x14ac:dyDescent="0.25">
      <c r="A16" s="313">
        <v>7</v>
      </c>
      <c r="B16" s="314"/>
      <c r="C16" s="330"/>
      <c r="D16" s="331"/>
    </row>
    <row r="17" spans="1:4" s="191" customFormat="1" ht="18" customHeight="1" x14ac:dyDescent="0.25">
      <c r="A17" s="313">
        <v>8</v>
      </c>
      <c r="B17" s="314"/>
      <c r="C17" s="330"/>
      <c r="D17" s="331"/>
    </row>
    <row r="18" spans="1:4" s="191" customFormat="1" ht="18" customHeight="1" x14ac:dyDescent="0.25">
      <c r="A18" s="313">
        <v>9</v>
      </c>
      <c r="B18" s="314"/>
      <c r="C18" s="330"/>
      <c r="D18" s="331"/>
    </row>
    <row r="19" spans="1:4" s="191" customFormat="1" ht="18" customHeight="1" x14ac:dyDescent="0.25">
      <c r="A19" s="313">
        <v>10</v>
      </c>
      <c r="B19" s="314"/>
      <c r="C19" s="330"/>
      <c r="D19" s="331"/>
    </row>
    <row r="20" spans="1:4" s="191" customFormat="1" ht="18" customHeight="1" x14ac:dyDescent="0.25">
      <c r="A20" s="313"/>
      <c r="B20" s="318" t="s">
        <v>763</v>
      </c>
      <c r="C20" s="324">
        <f>SUM(C10:C19)</f>
        <v>0</v>
      </c>
      <c r="D20" s="326">
        <f>SUM(D10:D19)</f>
        <v>0</v>
      </c>
    </row>
    <row r="21" spans="1:4" s="191" customFormat="1" ht="21" customHeight="1" x14ac:dyDescent="0.25">
      <c r="A21" s="1502" t="s">
        <v>758</v>
      </c>
      <c r="B21" s="1503"/>
      <c r="C21" s="1503"/>
      <c r="D21" s="1504"/>
    </row>
    <row r="22" spans="1:4" s="191" customFormat="1" ht="18" customHeight="1" x14ac:dyDescent="0.25">
      <c r="A22" s="313">
        <v>1</v>
      </c>
      <c r="B22" s="314"/>
      <c r="C22" s="330"/>
      <c r="D22" s="331"/>
    </row>
    <row r="23" spans="1:4" s="191" customFormat="1" ht="18" customHeight="1" x14ac:dyDescent="0.25">
      <c r="A23" s="313">
        <v>2</v>
      </c>
      <c r="B23" s="314"/>
      <c r="C23" s="330"/>
      <c r="D23" s="331"/>
    </row>
    <row r="24" spans="1:4" s="191" customFormat="1" ht="18" customHeight="1" x14ac:dyDescent="0.25">
      <c r="A24" s="313">
        <v>3</v>
      </c>
      <c r="B24" s="314"/>
      <c r="C24" s="330"/>
      <c r="D24" s="331"/>
    </row>
    <row r="25" spans="1:4" s="191" customFormat="1" ht="18" customHeight="1" x14ac:dyDescent="0.25">
      <c r="A25" s="313">
        <v>4</v>
      </c>
      <c r="B25" s="314"/>
      <c r="C25" s="330"/>
      <c r="D25" s="331"/>
    </row>
    <row r="26" spans="1:4" s="191" customFormat="1" ht="18" customHeight="1" x14ac:dyDescent="0.25">
      <c r="A26" s="313">
        <v>5</v>
      </c>
      <c r="B26" s="314"/>
      <c r="C26" s="330"/>
      <c r="D26" s="331"/>
    </row>
    <row r="27" spans="1:4" s="191" customFormat="1" ht="18" customHeight="1" x14ac:dyDescent="0.25">
      <c r="A27" s="313">
        <v>6</v>
      </c>
      <c r="B27" s="314"/>
      <c r="C27" s="330"/>
      <c r="D27" s="331"/>
    </row>
    <row r="28" spans="1:4" s="191" customFormat="1" ht="18" customHeight="1" x14ac:dyDescent="0.25">
      <c r="A28" s="313">
        <v>7</v>
      </c>
      <c r="B28" s="314"/>
      <c r="C28" s="330"/>
      <c r="D28" s="331"/>
    </row>
    <row r="29" spans="1:4" s="191" customFormat="1" ht="18" customHeight="1" x14ac:dyDescent="0.25">
      <c r="A29" s="313">
        <v>8</v>
      </c>
      <c r="B29" s="314"/>
      <c r="C29" s="330"/>
      <c r="D29" s="331"/>
    </row>
    <row r="30" spans="1:4" s="191" customFormat="1" ht="18" customHeight="1" x14ac:dyDescent="0.25">
      <c r="A30" s="313">
        <v>9</v>
      </c>
      <c r="B30" s="314"/>
      <c r="C30" s="330"/>
      <c r="D30" s="331"/>
    </row>
    <row r="31" spans="1:4" s="191" customFormat="1" ht="18" customHeight="1" x14ac:dyDescent="0.25">
      <c r="A31" s="313">
        <v>10</v>
      </c>
      <c r="B31" s="314"/>
      <c r="C31" s="330" t="s">
        <v>245</v>
      </c>
      <c r="D31" s="331"/>
    </row>
    <row r="32" spans="1:4" s="320" customFormat="1" ht="18" customHeight="1" thickBot="1" x14ac:dyDescent="0.35">
      <c r="A32" s="313"/>
      <c r="B32" s="319" t="s">
        <v>764</v>
      </c>
      <c r="C32" s="324">
        <f>SUM(C22:C31)</f>
        <v>0</v>
      </c>
      <c r="D32" s="326">
        <f>SUM(D22:D31)</f>
        <v>0</v>
      </c>
    </row>
    <row r="33" spans="1:9" ht="27.95" customHeight="1" thickBot="1" x14ac:dyDescent="0.35">
      <c r="A33" s="321"/>
      <c r="B33" s="322" t="s">
        <v>760</v>
      </c>
      <c r="C33" s="327">
        <f>SUM(C32,C20)</f>
        <v>0</v>
      </c>
      <c r="D33" s="332">
        <f>SUM(D32,D20)</f>
        <v>0</v>
      </c>
    </row>
    <row r="34" spans="1:9" s="478" customFormat="1" ht="18" customHeight="1" x14ac:dyDescent="0.3">
      <c r="A34" s="417" t="s">
        <v>81</v>
      </c>
      <c r="B34" s="93"/>
      <c r="C34" s="93"/>
      <c r="D34" s="93"/>
      <c r="E34" s="93"/>
    </row>
    <row r="35" spans="1:9" s="478" customFormat="1" ht="18" customHeight="1" x14ac:dyDescent="0.3">
      <c r="A35" s="37"/>
      <c r="B35" s="93"/>
      <c r="C35" s="93"/>
      <c r="D35" s="93"/>
      <c r="E35" s="93"/>
    </row>
    <row r="36" spans="1:9" s="478" customFormat="1" ht="18" customHeight="1" x14ac:dyDescent="0.3">
      <c r="A36" s="37"/>
      <c r="B36" s="93"/>
      <c r="C36" s="93"/>
      <c r="D36" s="93"/>
      <c r="E36" s="93"/>
    </row>
    <row r="37" spans="1:9" s="479" customFormat="1" ht="17.100000000000001" customHeight="1" x14ac:dyDescent="0.3">
      <c r="A37" s="475"/>
      <c r="B37" s="476"/>
      <c r="C37" s="477"/>
      <c r="D37" s="477"/>
    </row>
    <row r="38" spans="1:9" ht="17.100000000000001" customHeight="1" x14ac:dyDescent="0.3">
      <c r="A38" s="37"/>
      <c r="I38" s="323"/>
    </row>
  </sheetData>
  <sheetProtection insertHyperlinks="0"/>
  <mergeCells count="10">
    <mergeCell ref="A7:B8"/>
    <mergeCell ref="A9:D9"/>
    <mergeCell ref="A21:D21"/>
    <mergeCell ref="C7:C8"/>
    <mergeCell ref="D7:D8"/>
    <mergeCell ref="B1:D1"/>
    <mergeCell ref="B2:D2"/>
    <mergeCell ref="B3:D3"/>
    <mergeCell ref="B4:D4"/>
    <mergeCell ref="B5:C5"/>
  </mergeCells>
  <printOptions horizontalCentered="1"/>
  <pageMargins left="0.39370078740157483" right="0.39370078740157483" top="0.74803149606299213" bottom="0.74803149606299213" header="0.31496062992125984" footer="0.31496062992125984"/>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view="pageBreakPreview" zoomScaleNormal="100" zoomScaleSheetLayoutView="100" workbookViewId="0">
      <selection activeCell="D12" sqref="D12"/>
    </sheetView>
  </sheetViews>
  <sheetFormatPr baseColWidth="10" defaultColWidth="11.28515625" defaultRowHeight="15" x14ac:dyDescent="0.25"/>
  <cols>
    <col min="1" max="1" width="47.7109375" style="343" bestFit="1" customWidth="1"/>
    <col min="2" max="2" width="11.28515625" style="333"/>
    <col min="3" max="3" width="12.28515625" style="333" customWidth="1"/>
    <col min="4" max="16384" width="11.28515625" style="333"/>
  </cols>
  <sheetData>
    <row r="1" spans="1:7" ht="16.5" customHeight="1" x14ac:dyDescent="0.25">
      <c r="A1" s="1518" t="s">
        <v>1028</v>
      </c>
      <c r="B1" s="1518"/>
      <c r="C1" s="1518"/>
      <c r="D1" s="1518"/>
      <c r="E1" s="1518"/>
      <c r="F1" s="1518"/>
      <c r="G1" s="1518"/>
    </row>
    <row r="2" spans="1:7" ht="16.5" customHeight="1" x14ac:dyDescent="0.25">
      <c r="A2" s="1518" t="s">
        <v>765</v>
      </c>
      <c r="B2" s="1518"/>
      <c r="C2" s="1518"/>
      <c r="D2" s="1518"/>
      <c r="E2" s="1518"/>
      <c r="F2" s="1518"/>
      <c r="G2" s="1518"/>
    </row>
    <row r="3" spans="1:7" ht="15.75" x14ac:dyDescent="0.25">
      <c r="A3" s="1520"/>
      <c r="B3" s="1520"/>
      <c r="C3" s="1520"/>
      <c r="D3" s="1520"/>
      <c r="E3" s="1520"/>
      <c r="F3" s="1520"/>
      <c r="G3" s="1520"/>
    </row>
    <row r="4" spans="1:7" ht="16.5" x14ac:dyDescent="0.25">
      <c r="A4" s="1519" t="str">
        <f>'CPCA-I-03'!A4:D4</f>
        <v>Del 01 de ENERO al 31 de DICIEMBRE de 2024</v>
      </c>
      <c r="B4" s="1519"/>
      <c r="C4" s="1519"/>
      <c r="D4" s="1519"/>
      <c r="E4" s="1519"/>
      <c r="F4" s="1519"/>
      <c r="G4" s="1519"/>
    </row>
    <row r="5" spans="1:7" ht="17.25" thickBot="1" x14ac:dyDescent="0.3">
      <c r="A5" s="334"/>
      <c r="B5" s="1521" t="s">
        <v>766</v>
      </c>
      <c r="C5" s="1521"/>
      <c r="D5" s="1521"/>
      <c r="E5" s="153"/>
      <c r="F5" s="38"/>
      <c r="G5" s="484"/>
    </row>
    <row r="6" spans="1:7" ht="38.25" x14ac:dyDescent="0.25">
      <c r="A6" s="1442" t="s">
        <v>247</v>
      </c>
      <c r="B6" s="188" t="s">
        <v>469</v>
      </c>
      <c r="C6" s="188" t="s">
        <v>397</v>
      </c>
      <c r="D6" s="188" t="s">
        <v>470</v>
      </c>
      <c r="E6" s="189" t="s">
        <v>767</v>
      </c>
      <c r="F6" s="189" t="s">
        <v>768</v>
      </c>
      <c r="G6" s="188" t="s">
        <v>473</v>
      </c>
    </row>
    <row r="7" spans="1:7" ht="15.75" thickBot="1" x14ac:dyDescent="0.3">
      <c r="A7" s="1443"/>
      <c r="B7" s="278" t="s">
        <v>377</v>
      </c>
      <c r="C7" s="278" t="s">
        <v>378</v>
      </c>
      <c r="D7" s="278" t="s">
        <v>474</v>
      </c>
      <c r="E7" s="335" t="s">
        <v>380</v>
      </c>
      <c r="F7" s="335" t="s">
        <v>381</v>
      </c>
      <c r="G7" s="278" t="s">
        <v>475</v>
      </c>
    </row>
    <row r="8" spans="1:7" ht="16.5" x14ac:dyDescent="0.25">
      <c r="A8" s="344"/>
      <c r="B8" s="336"/>
      <c r="C8" s="336"/>
      <c r="D8" s="336"/>
      <c r="E8" s="336"/>
      <c r="F8" s="336"/>
      <c r="G8" s="336"/>
    </row>
    <row r="9" spans="1:7" s="339" customFormat="1" x14ac:dyDescent="0.25">
      <c r="A9" s="337" t="s">
        <v>769</v>
      </c>
      <c r="B9" s="338"/>
      <c r="C9" s="338"/>
      <c r="D9" s="338"/>
      <c r="E9" s="338"/>
      <c r="F9" s="338"/>
      <c r="G9" s="338"/>
    </row>
    <row r="10" spans="1:7" s="341" customFormat="1" x14ac:dyDescent="0.25">
      <c r="A10" s="340" t="s">
        <v>942</v>
      </c>
      <c r="B10" s="420">
        <f>B12+B13</f>
        <v>0</v>
      </c>
      <c r="C10" s="420">
        <f>C12+C13</f>
        <v>0</v>
      </c>
      <c r="D10" s="420">
        <f>SUM(B10+C10)</f>
        <v>0</v>
      </c>
      <c r="E10" s="420">
        <f>E12+E13</f>
        <v>0</v>
      </c>
      <c r="F10" s="420">
        <f>F12+F13</f>
        <v>0</v>
      </c>
      <c r="G10" s="420">
        <f>SUM(D10-E10)</f>
        <v>0</v>
      </c>
    </row>
    <row r="11" spans="1:7" s="342" customFormat="1" x14ac:dyDescent="0.25">
      <c r="A11" s="345"/>
      <c r="B11" s="421"/>
      <c r="C11" s="421"/>
      <c r="D11" s="421"/>
      <c r="E11" s="421"/>
      <c r="F11" s="421"/>
      <c r="G11" s="422"/>
    </row>
    <row r="12" spans="1:7" s="342" customFormat="1" x14ac:dyDescent="0.25">
      <c r="A12" s="345" t="s">
        <v>770</v>
      </c>
      <c r="B12" s="421"/>
      <c r="C12" s="421"/>
      <c r="D12" s="422">
        <f>B12+C12</f>
        <v>0</v>
      </c>
      <c r="E12" s="421"/>
      <c r="F12" s="421"/>
      <c r="G12" s="422">
        <f>D12-E12</f>
        <v>0</v>
      </c>
    </row>
    <row r="13" spans="1:7" s="342" customFormat="1" x14ac:dyDescent="0.25">
      <c r="A13" s="345" t="s">
        <v>771</v>
      </c>
      <c r="B13" s="421"/>
      <c r="C13" s="421"/>
      <c r="D13" s="422">
        <f>B13+C13</f>
        <v>0</v>
      </c>
      <c r="E13" s="421"/>
      <c r="F13" s="421"/>
      <c r="G13" s="422">
        <f>D13-E13</f>
        <v>0</v>
      </c>
    </row>
    <row r="14" spans="1:7" s="341" customFormat="1" x14ac:dyDescent="0.25">
      <c r="A14" s="340" t="s">
        <v>772</v>
      </c>
      <c r="B14" s="420">
        <f t="shared" ref="B14:G14" si="0">SUM(B15:B22)</f>
        <v>32253060.079999998</v>
      </c>
      <c r="C14" s="420">
        <f t="shared" si="0"/>
        <v>4996155.3999999994</v>
      </c>
      <c r="D14" s="420">
        <f t="shared" si="0"/>
        <v>37249215.479999997</v>
      </c>
      <c r="E14" s="420">
        <f t="shared" si="0"/>
        <v>34881677.560000002</v>
      </c>
      <c r="F14" s="420">
        <f t="shared" si="0"/>
        <v>33580086.640000001</v>
      </c>
      <c r="G14" s="420">
        <f t="shared" si="0"/>
        <v>2367537.9199999943</v>
      </c>
    </row>
    <row r="15" spans="1:7" s="342" customFormat="1" x14ac:dyDescent="0.25">
      <c r="A15" s="345" t="s">
        <v>773</v>
      </c>
      <c r="B15" s="421">
        <f>'CPCA-II-10'!B10</f>
        <v>32253060.079999998</v>
      </c>
      <c r="C15" s="421">
        <f>'CPCA-II-10'!C10</f>
        <v>4996155.3999999994</v>
      </c>
      <c r="D15" s="422">
        <f t="shared" ref="D15:D22" si="1">B15+C15</f>
        <v>37249215.479999997</v>
      </c>
      <c r="E15" s="421">
        <f>'CPCA-II-10'!E10</f>
        <v>34881677.560000002</v>
      </c>
      <c r="F15" s="421">
        <f>'CPCA-II-10'!F10</f>
        <v>33580086.640000001</v>
      </c>
      <c r="G15" s="422">
        <f>D15-E15</f>
        <v>2367537.9199999943</v>
      </c>
    </row>
    <row r="16" spans="1:7" s="342" customFormat="1" x14ac:dyDescent="0.25">
      <c r="A16" s="345" t="s">
        <v>774</v>
      </c>
      <c r="B16" s="421"/>
      <c r="C16" s="421"/>
      <c r="D16" s="422">
        <f t="shared" si="1"/>
        <v>0</v>
      </c>
      <c r="E16" s="421"/>
      <c r="F16" s="421"/>
      <c r="G16" s="422">
        <f t="shared" ref="G16:G39" si="2">D16-E16</f>
        <v>0</v>
      </c>
    </row>
    <row r="17" spans="1:7" s="342" customFormat="1" x14ac:dyDescent="0.25">
      <c r="A17" s="345" t="s">
        <v>775</v>
      </c>
      <c r="B17" s="421"/>
      <c r="C17" s="421"/>
      <c r="D17" s="422">
        <f t="shared" si="1"/>
        <v>0</v>
      </c>
      <c r="E17" s="421"/>
      <c r="F17" s="421"/>
      <c r="G17" s="422">
        <f t="shared" si="2"/>
        <v>0</v>
      </c>
    </row>
    <row r="18" spans="1:7" s="342" customFormat="1" x14ac:dyDescent="0.25">
      <c r="A18" s="345" t="s">
        <v>776</v>
      </c>
      <c r="B18" s="421"/>
      <c r="C18" s="421"/>
      <c r="D18" s="422">
        <f t="shared" si="1"/>
        <v>0</v>
      </c>
      <c r="E18" s="421"/>
      <c r="F18" s="421"/>
      <c r="G18" s="422">
        <f t="shared" si="2"/>
        <v>0</v>
      </c>
    </row>
    <row r="19" spans="1:7" s="342" customFormat="1" x14ac:dyDescent="0.25">
      <c r="A19" s="345" t="s">
        <v>777</v>
      </c>
      <c r="B19" s="421"/>
      <c r="C19" s="421"/>
      <c r="D19" s="422">
        <f t="shared" si="1"/>
        <v>0</v>
      </c>
      <c r="E19" s="421"/>
      <c r="F19" s="421"/>
      <c r="G19" s="422">
        <f t="shared" si="2"/>
        <v>0</v>
      </c>
    </row>
    <row r="20" spans="1:7" s="342" customFormat="1" ht="27" x14ac:dyDescent="0.25">
      <c r="A20" s="345" t="s">
        <v>778</v>
      </c>
      <c r="B20" s="421"/>
      <c r="C20" s="421"/>
      <c r="D20" s="422">
        <f t="shared" si="1"/>
        <v>0</v>
      </c>
      <c r="E20" s="421"/>
      <c r="F20" s="421"/>
      <c r="G20" s="422">
        <f t="shared" si="2"/>
        <v>0</v>
      </c>
    </row>
    <row r="21" spans="1:7" s="342" customFormat="1" x14ac:dyDescent="0.25">
      <c r="A21" s="345" t="s">
        <v>779</v>
      </c>
      <c r="B21" s="421"/>
      <c r="C21" s="421"/>
      <c r="D21" s="422">
        <f t="shared" si="1"/>
        <v>0</v>
      </c>
      <c r="E21" s="421"/>
      <c r="F21" s="421"/>
      <c r="G21" s="422">
        <f t="shared" si="2"/>
        <v>0</v>
      </c>
    </row>
    <row r="22" spans="1:7" s="342" customFormat="1" x14ac:dyDescent="0.25">
      <c r="A22" s="345" t="s">
        <v>780</v>
      </c>
      <c r="B22" s="421"/>
      <c r="C22" s="421"/>
      <c r="D22" s="422">
        <f t="shared" si="1"/>
        <v>0</v>
      </c>
      <c r="E22" s="421"/>
      <c r="F22" s="421"/>
      <c r="G22" s="422">
        <f t="shared" si="2"/>
        <v>0</v>
      </c>
    </row>
    <row r="23" spans="1:7" s="341" customFormat="1" x14ac:dyDescent="0.25">
      <c r="A23" s="340" t="s">
        <v>781</v>
      </c>
      <c r="B23" s="420">
        <f t="shared" ref="B23:G23" si="3">SUM(B24:B26)</f>
        <v>0</v>
      </c>
      <c r="C23" s="420">
        <f t="shared" si="3"/>
        <v>0</v>
      </c>
      <c r="D23" s="420">
        <f t="shared" si="3"/>
        <v>0</v>
      </c>
      <c r="E23" s="420">
        <f t="shared" si="3"/>
        <v>0</v>
      </c>
      <c r="F23" s="420">
        <f t="shared" si="3"/>
        <v>0</v>
      </c>
      <c r="G23" s="420">
        <f t="shared" si="3"/>
        <v>0</v>
      </c>
    </row>
    <row r="24" spans="1:7" s="342" customFormat="1" ht="27" x14ac:dyDescent="0.25">
      <c r="A24" s="345" t="s">
        <v>782</v>
      </c>
      <c r="B24" s="421"/>
      <c r="C24" s="421"/>
      <c r="D24" s="422">
        <f>B24+C24</f>
        <v>0</v>
      </c>
      <c r="E24" s="421"/>
      <c r="F24" s="421"/>
      <c r="G24" s="422">
        <f t="shared" si="2"/>
        <v>0</v>
      </c>
    </row>
    <row r="25" spans="1:7" s="342" customFormat="1" x14ac:dyDescent="0.25">
      <c r="A25" s="345" t="s">
        <v>783</v>
      </c>
      <c r="B25" s="421"/>
      <c r="C25" s="421"/>
      <c r="D25" s="422">
        <f>B25+C25</f>
        <v>0</v>
      </c>
      <c r="E25" s="421"/>
      <c r="F25" s="421"/>
      <c r="G25" s="422">
        <f t="shared" si="2"/>
        <v>0</v>
      </c>
    </row>
    <row r="26" spans="1:7" s="342" customFormat="1" x14ac:dyDescent="0.25">
      <c r="A26" s="345" t="s">
        <v>784</v>
      </c>
      <c r="B26" s="421"/>
      <c r="C26" s="421"/>
      <c r="D26" s="422">
        <f>B26+C26</f>
        <v>0</v>
      </c>
      <c r="E26" s="421"/>
      <c r="F26" s="421"/>
      <c r="G26" s="422">
        <f t="shared" si="2"/>
        <v>0</v>
      </c>
    </row>
    <row r="27" spans="1:7" s="341" customFormat="1" x14ac:dyDescent="0.25">
      <c r="A27" s="340" t="s">
        <v>785</v>
      </c>
      <c r="B27" s="420">
        <f>B28+B29</f>
        <v>0</v>
      </c>
      <c r="C27" s="420">
        <f>C28+C29</f>
        <v>0</v>
      </c>
      <c r="D27" s="420">
        <f>SUM(D28:D29)</f>
        <v>0</v>
      </c>
      <c r="E27" s="420">
        <f>E28+E29</f>
        <v>0</v>
      </c>
      <c r="F27" s="420">
        <f>F28+F29</f>
        <v>0</v>
      </c>
      <c r="G27" s="420">
        <f>SUM(G28:G29)</f>
        <v>0</v>
      </c>
    </row>
    <row r="28" spans="1:7" s="342" customFormat="1" x14ac:dyDescent="0.25">
      <c r="A28" s="345" t="s">
        <v>786</v>
      </c>
      <c r="B28" s="421"/>
      <c r="C28" s="421"/>
      <c r="D28" s="422">
        <f>B28+C28</f>
        <v>0</v>
      </c>
      <c r="E28" s="421"/>
      <c r="F28" s="421"/>
      <c r="G28" s="422">
        <f t="shared" si="2"/>
        <v>0</v>
      </c>
    </row>
    <row r="29" spans="1:7" s="342" customFormat="1" x14ac:dyDescent="0.25">
      <c r="A29" s="345" t="s">
        <v>787</v>
      </c>
      <c r="B29" s="421"/>
      <c r="C29" s="421"/>
      <c r="D29" s="422">
        <f>B29+C29</f>
        <v>0</v>
      </c>
      <c r="E29" s="421"/>
      <c r="F29" s="421"/>
      <c r="G29" s="422">
        <f t="shared" si="2"/>
        <v>0</v>
      </c>
    </row>
    <row r="30" spans="1:7" s="341" customFormat="1" x14ac:dyDescent="0.25">
      <c r="A30" s="340" t="s">
        <v>788</v>
      </c>
      <c r="B30" s="420">
        <f>B31+B32+B33+B34</f>
        <v>0</v>
      </c>
      <c r="C30" s="420">
        <f>C31+C32+C33+C34</f>
        <v>0</v>
      </c>
      <c r="D30" s="420">
        <f>SUM(D31:D34)</f>
        <v>0</v>
      </c>
      <c r="E30" s="420">
        <f>E31+E32+E33+E34</f>
        <v>0</v>
      </c>
      <c r="F30" s="420">
        <f>F31+F32+F33+F34</f>
        <v>0</v>
      </c>
      <c r="G30" s="420">
        <f>SUM(G31:G34)</f>
        <v>0</v>
      </c>
    </row>
    <row r="31" spans="1:7" s="342" customFormat="1" x14ac:dyDescent="0.25">
      <c r="A31" s="345" t="s">
        <v>220</v>
      </c>
      <c r="B31" s="421"/>
      <c r="C31" s="421"/>
      <c r="D31" s="422">
        <f>B31+C31</f>
        <v>0</v>
      </c>
      <c r="E31" s="421"/>
      <c r="F31" s="421"/>
      <c r="G31" s="422">
        <f t="shared" si="2"/>
        <v>0</v>
      </c>
    </row>
    <row r="32" spans="1:7" s="342" customFormat="1" x14ac:dyDescent="0.25">
      <c r="A32" s="345" t="s">
        <v>789</v>
      </c>
      <c r="B32" s="421"/>
      <c r="C32" s="421"/>
      <c r="D32" s="422">
        <f>B32+C32</f>
        <v>0</v>
      </c>
      <c r="E32" s="421"/>
      <c r="F32" s="421"/>
      <c r="G32" s="422">
        <f t="shared" si="2"/>
        <v>0</v>
      </c>
    </row>
    <row r="33" spans="1:8" s="342" customFormat="1" x14ac:dyDescent="0.25">
      <c r="A33" s="345" t="s">
        <v>790</v>
      </c>
      <c r="B33" s="421"/>
      <c r="C33" s="421"/>
      <c r="D33" s="422">
        <f>B33+C33</f>
        <v>0</v>
      </c>
      <c r="E33" s="421"/>
      <c r="F33" s="421"/>
      <c r="G33" s="422">
        <f t="shared" si="2"/>
        <v>0</v>
      </c>
    </row>
    <row r="34" spans="1:8" s="342" customFormat="1" x14ac:dyDescent="0.25">
      <c r="A34" s="345" t="s">
        <v>791</v>
      </c>
      <c r="B34" s="421"/>
      <c r="C34" s="421"/>
      <c r="D34" s="422">
        <f>B34+C34</f>
        <v>0</v>
      </c>
      <c r="E34" s="421"/>
      <c r="F34" s="421"/>
      <c r="G34" s="422">
        <f t="shared" si="2"/>
        <v>0</v>
      </c>
    </row>
    <row r="35" spans="1:8" s="341" customFormat="1" x14ac:dyDescent="0.25">
      <c r="A35" s="340" t="s">
        <v>792</v>
      </c>
      <c r="B35" s="420">
        <f t="shared" ref="B35:G35" si="4">B36</f>
        <v>0</v>
      </c>
      <c r="C35" s="420">
        <f t="shared" si="4"/>
        <v>0</v>
      </c>
      <c r="D35" s="420">
        <f t="shared" si="4"/>
        <v>0</v>
      </c>
      <c r="E35" s="420">
        <f t="shared" si="4"/>
        <v>0</v>
      </c>
      <c r="F35" s="420">
        <f t="shared" si="4"/>
        <v>0</v>
      </c>
      <c r="G35" s="420">
        <f t="shared" si="4"/>
        <v>0</v>
      </c>
    </row>
    <row r="36" spans="1:8" s="342" customFormat="1" x14ac:dyDescent="0.25">
      <c r="A36" s="345" t="s">
        <v>793</v>
      </c>
      <c r="B36" s="421"/>
      <c r="C36" s="421"/>
      <c r="D36" s="422">
        <f>B36+C36</f>
        <v>0</v>
      </c>
      <c r="E36" s="421"/>
      <c r="F36" s="421"/>
      <c r="G36" s="422">
        <f t="shared" si="2"/>
        <v>0</v>
      </c>
    </row>
    <row r="37" spans="1:8" s="341" customFormat="1" x14ac:dyDescent="0.25">
      <c r="A37" s="340" t="s">
        <v>794</v>
      </c>
      <c r="B37" s="423"/>
      <c r="C37" s="423"/>
      <c r="D37" s="420">
        <f>B37+C37</f>
        <v>0</v>
      </c>
      <c r="E37" s="423"/>
      <c r="F37" s="423"/>
      <c r="G37" s="420">
        <f t="shared" si="2"/>
        <v>0</v>
      </c>
    </row>
    <row r="38" spans="1:8" s="341" customFormat="1" ht="27" x14ac:dyDescent="0.25">
      <c r="A38" s="340" t="s">
        <v>795</v>
      </c>
      <c r="B38" s="423"/>
      <c r="C38" s="423"/>
      <c r="D38" s="420">
        <f>B38+C38</f>
        <v>0</v>
      </c>
      <c r="E38" s="423"/>
      <c r="F38" s="423"/>
      <c r="G38" s="420">
        <f t="shared" si="2"/>
        <v>0</v>
      </c>
    </row>
    <row r="39" spans="1:8" s="341" customFormat="1" ht="15.75" thickBot="1" x14ac:dyDescent="0.3">
      <c r="A39" s="340" t="s">
        <v>796</v>
      </c>
      <c r="B39" s="423"/>
      <c r="C39" s="423"/>
      <c r="D39" s="420">
        <f>B39+C39</f>
        <v>0</v>
      </c>
      <c r="E39" s="423"/>
      <c r="F39" s="423"/>
      <c r="G39" s="420">
        <f t="shared" si="2"/>
        <v>0</v>
      </c>
    </row>
    <row r="40" spans="1:8" ht="32.25" customHeight="1" thickBot="1" x14ac:dyDescent="0.3">
      <c r="A40" s="346" t="s">
        <v>525</v>
      </c>
      <c r="B40" s="424">
        <f t="shared" ref="B40:G40" si="5">SUM(B$10,B$14,B$23,B$27,B$30,B$35,B$37,B$38,B$39)</f>
        <v>32253060.079999998</v>
      </c>
      <c r="C40" s="424">
        <f t="shared" si="5"/>
        <v>4996155.3999999994</v>
      </c>
      <c r="D40" s="424">
        <f t="shared" si="5"/>
        <v>37249215.479999997</v>
      </c>
      <c r="E40" s="424">
        <f t="shared" si="5"/>
        <v>34881677.560000002</v>
      </c>
      <c r="F40" s="424">
        <f t="shared" si="5"/>
        <v>33580086.640000001</v>
      </c>
      <c r="G40" s="424">
        <f t="shared" si="5"/>
        <v>2367537.9199999943</v>
      </c>
      <c r="H40" s="482" t="str">
        <f>IF((B40-'CPCA II-04'!B81)&gt;0.9,"ERROR!!!!! EL MONTO NO COINCIDE CON LO REPORTADO EN EL FORMATO ETCA-II-04 EN EL TOTAL APROBADO ANUAL DEL ANALÍTICO DE EGRESOS","")</f>
        <v/>
      </c>
    </row>
    <row r="41" spans="1:8" ht="18" customHeight="1" x14ac:dyDescent="0.25">
      <c r="A41" s="480"/>
      <c r="B41" s="483"/>
      <c r="C41" s="483"/>
      <c r="D41" s="483"/>
      <c r="E41" s="483"/>
      <c r="F41" s="483"/>
      <c r="G41" s="483"/>
      <c r="H41" s="482" t="str">
        <f>IF((C40-'CPCA II-04'!C81)&gt;0.9,"ERROR!!!!! EL MONTO NO COINCIDE CON LO REPORTADO EN EL FORMATO ETCA-II-04 EN EL TOTAL DE AMPLIACIONES/REDUCCIONES PRESENTADO EN EL ANALÍTICO DE EGRESOS","")</f>
        <v/>
      </c>
    </row>
    <row r="42" spans="1:8" ht="18" customHeight="1" x14ac:dyDescent="0.25">
      <c r="A42" s="480"/>
      <c r="B42" s="483"/>
      <c r="C42" s="483"/>
      <c r="D42" s="483"/>
      <c r="E42" s="483"/>
      <c r="F42" s="483"/>
      <c r="G42" s="483"/>
      <c r="H42" s="482" t="str">
        <f>IF((D40-'CPCA II-04'!D81)&gt;0.9,"ERROR!!!!! EL MONTO NO COINCIDE CON LO REPORTADO EN EL FORMATO ETCA-II-04 EN EL TOTAL MODIFICADO ANUAL PRESENTADO EN EL ANALÍTICO DE EGRESOS","")</f>
        <v/>
      </c>
    </row>
    <row r="43" spans="1:8" ht="18" customHeight="1" x14ac:dyDescent="0.25">
      <c r="A43" s="480"/>
      <c r="B43" s="483"/>
      <c r="C43" s="483"/>
      <c r="D43" s="483"/>
      <c r="E43" s="483"/>
      <c r="F43" s="483"/>
      <c r="G43" s="483"/>
      <c r="H43" s="482" t="str">
        <f>IF((E40-'CPCA II-04'!E81)&gt;0.9,"ERROR!!!!! EL MONTO NO COINCIDE CON LO REPORTADO EN EL FORMATO ETCA-II-04 EN EL TOTAL DEVENGADO ANUAL PRESENTADO EN EL ANALÍTICO DE EGRESOS","")</f>
        <v/>
      </c>
    </row>
    <row r="44" spans="1:8" ht="18" customHeight="1" x14ac:dyDescent="0.25">
      <c r="A44" s="480"/>
      <c r="B44" s="483"/>
      <c r="C44" s="483"/>
      <c r="D44" s="483"/>
      <c r="E44" s="483"/>
      <c r="F44" s="483"/>
      <c r="G44" s="483"/>
      <c r="H44" s="482" t="str">
        <f>IF((F40-'CPCA II-04'!F81)&gt;0.9,"ERROR!!!!! EL MONTO NO COINCIDE CON LO REPORTADO EN EL FORMATO ETCA-II-04 EN EL TOTAL PAGADO ANUAL PRESENTADO EN EL ANALÍTICO DE EGRESOS","")</f>
        <v/>
      </c>
    </row>
    <row r="45" spans="1:8" ht="18" customHeight="1" x14ac:dyDescent="0.25">
      <c r="H45" s="482" t="str">
        <f>IF((G40-'CPCA II-04'!G81)&gt;0.9,"ERROR!!!!! EL MONTO NO COINCIDE CON LO REPORTADO EN EL FORMATO ETCA-II-04 EN EL TOTAL SUBEJERCICIO PRESENTADO EN EL ANALÍTICO DE EGRESOS","")</f>
        <v/>
      </c>
    </row>
  </sheetData>
  <sheetProtection formatColumns="0" formatRows="0" insertHyperlinks="0"/>
  <mergeCells count="6">
    <mergeCell ref="A1:G1"/>
    <mergeCell ref="A2:G2"/>
    <mergeCell ref="A4:G4"/>
    <mergeCell ref="A3:G3"/>
    <mergeCell ref="A6:A7"/>
    <mergeCell ref="B5:D5"/>
  </mergeCells>
  <printOptions horizontalCentered="1"/>
  <pageMargins left="0.39370078740157483" right="0.39370078740157483" top="0.74803149606299213" bottom="0.74803149606299213" header="0.31496062992125984" footer="0.31496062992125984"/>
  <pageSetup scale="84"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view="pageBreakPreview" zoomScale="90" zoomScaleNormal="100" zoomScaleSheetLayoutView="90" workbookViewId="0">
      <selection activeCell="D12" sqref="D12"/>
    </sheetView>
  </sheetViews>
  <sheetFormatPr baseColWidth="10" defaultColWidth="11.28515625" defaultRowHeight="16.5" x14ac:dyDescent="0.3"/>
  <cols>
    <col min="1" max="1" width="1.85546875" style="349" customWidth="1"/>
    <col min="2" max="2" width="34.7109375" style="32" customWidth="1"/>
    <col min="3" max="3" width="20.85546875" style="32" customWidth="1"/>
    <col min="4" max="4" width="25.7109375" style="32" customWidth="1"/>
    <col min="5" max="5" width="19.85546875" style="32" customWidth="1"/>
    <col min="6" max="16384" width="11.28515625" style="32"/>
  </cols>
  <sheetData>
    <row r="1" spans="1:7" ht="16.5" customHeight="1" x14ac:dyDescent="0.3">
      <c r="A1" s="1522" t="s">
        <v>1028</v>
      </c>
      <c r="B1" s="1522"/>
      <c r="C1" s="1522"/>
      <c r="D1" s="1522"/>
      <c r="E1" s="1522"/>
    </row>
    <row r="2" spans="1:7" x14ac:dyDescent="0.3">
      <c r="A2" s="1523" t="s">
        <v>797</v>
      </c>
      <c r="B2" s="1523"/>
      <c r="C2" s="1523"/>
      <c r="D2" s="1523"/>
      <c r="E2" s="1523"/>
    </row>
    <row r="3" spans="1:7" x14ac:dyDescent="0.3">
      <c r="A3" s="1288"/>
      <c r="B3" s="1288"/>
      <c r="C3" s="1288"/>
      <c r="D3" s="1288"/>
      <c r="E3" s="1288"/>
      <c r="G3" s="347"/>
    </row>
    <row r="4" spans="1:7" x14ac:dyDescent="0.3">
      <c r="A4" s="1523" t="str">
        <f>'CPCA-I-03'!A4:D4</f>
        <v>Del 01 de ENERO al 31 de DICIEMBRE de 2024</v>
      </c>
      <c r="B4" s="1523"/>
      <c r="C4" s="1523"/>
      <c r="D4" s="1523"/>
      <c r="E4" s="1523"/>
    </row>
    <row r="5" spans="1:7" x14ac:dyDescent="0.3">
      <c r="A5" s="761"/>
      <c r="B5" s="761"/>
      <c r="C5" s="761" t="s">
        <v>798</v>
      </c>
      <c r="D5" s="4"/>
      <c r="E5" s="348"/>
    </row>
    <row r="6" spans="1:7" ht="6.75" customHeight="1" thickBot="1" x14ac:dyDescent="0.35"/>
    <row r="7" spans="1:7" s="350" customFormat="1" ht="17.25" customHeight="1" x14ac:dyDescent="0.25">
      <c r="A7" s="1524"/>
      <c r="B7" s="1525"/>
      <c r="C7" s="762"/>
      <c r="D7" s="762"/>
      <c r="E7" s="363"/>
    </row>
    <row r="8" spans="1:7" s="350" customFormat="1" ht="20.25" customHeight="1" x14ac:dyDescent="0.25">
      <c r="A8" s="352"/>
      <c r="B8" s="362" t="s">
        <v>799</v>
      </c>
      <c r="C8" s="351"/>
      <c r="D8" s="351"/>
      <c r="E8" s="353"/>
      <c r="F8" s="354"/>
    </row>
    <row r="9" spans="1:7" s="350" customFormat="1" ht="20.25" customHeight="1" x14ac:dyDescent="0.25">
      <c r="A9" s="355"/>
      <c r="C9" s="351"/>
      <c r="D9" s="351"/>
      <c r="E9" s="353"/>
      <c r="F9" s="354"/>
    </row>
    <row r="10" spans="1:7" s="350" customFormat="1" ht="27.75" customHeight="1" x14ac:dyDescent="0.25">
      <c r="A10" s="562"/>
      <c r="B10" s="569" t="s">
        <v>800</v>
      </c>
      <c r="C10" s="566"/>
      <c r="D10" s="561" t="s">
        <v>801</v>
      </c>
      <c r="E10" s="563" t="s">
        <v>802</v>
      </c>
      <c r="F10" s="354"/>
    </row>
    <row r="11" spans="1:7" s="350" customFormat="1" ht="20.25" customHeight="1" x14ac:dyDescent="0.25">
      <c r="A11" s="352"/>
      <c r="C11" s="567"/>
      <c r="D11" s="564"/>
      <c r="E11" s="353"/>
      <c r="F11" s="354"/>
    </row>
    <row r="12" spans="1:7" s="350" customFormat="1" ht="20.25" customHeight="1" x14ac:dyDescent="0.25">
      <c r="A12" s="355"/>
      <c r="C12" s="567"/>
      <c r="D12" s="564"/>
      <c r="E12" s="353"/>
      <c r="F12" s="354"/>
    </row>
    <row r="13" spans="1:7" x14ac:dyDescent="0.3">
      <c r="A13" s="356"/>
      <c r="C13" s="568"/>
      <c r="D13" s="565"/>
      <c r="E13" s="357"/>
      <c r="F13" s="18"/>
    </row>
    <row r="14" spans="1:7" x14ac:dyDescent="0.3">
      <c r="A14" s="356"/>
      <c r="B14" s="18"/>
      <c r="C14" s="568"/>
      <c r="D14" s="565"/>
      <c r="E14" s="357"/>
      <c r="F14" s="18"/>
    </row>
    <row r="15" spans="1:7" x14ac:dyDescent="0.3">
      <c r="A15" s="356"/>
      <c r="B15" s="18"/>
      <c r="C15" s="568"/>
      <c r="D15" s="565"/>
      <c r="E15" s="357"/>
      <c r="F15" s="18"/>
    </row>
    <row r="16" spans="1:7" x14ac:dyDescent="0.3">
      <c r="A16" s="356"/>
      <c r="B16" s="18"/>
      <c r="C16" s="568"/>
      <c r="D16" s="565"/>
      <c r="E16" s="357"/>
      <c r="F16" s="18"/>
    </row>
    <row r="17" spans="1:6" x14ac:dyDescent="0.3">
      <c r="A17" s="356"/>
      <c r="B17" s="993" t="s">
        <v>1032</v>
      </c>
      <c r="C17" s="568"/>
      <c r="D17" s="565"/>
      <c r="E17" s="357"/>
      <c r="F17" s="18"/>
    </row>
    <row r="18" spans="1:6" x14ac:dyDescent="0.3">
      <c r="A18" s="356"/>
      <c r="B18" s="18"/>
      <c r="C18" s="568"/>
      <c r="D18" s="565"/>
      <c r="E18" s="357"/>
      <c r="F18" s="18"/>
    </row>
    <row r="19" spans="1:6" x14ac:dyDescent="0.3">
      <c r="A19" s="356"/>
      <c r="B19" s="18"/>
      <c r="C19" s="568"/>
      <c r="D19" s="565"/>
      <c r="E19" s="357"/>
      <c r="F19" s="18"/>
    </row>
    <row r="20" spans="1:6" x14ac:dyDescent="0.3">
      <c r="A20" s="356"/>
      <c r="B20" s="18"/>
      <c r="C20" s="568"/>
      <c r="D20" s="565"/>
      <c r="E20" s="357"/>
      <c r="F20" s="18"/>
    </row>
    <row r="21" spans="1:6" x14ac:dyDescent="0.3">
      <c r="A21" s="356"/>
      <c r="B21" s="18"/>
      <c r="C21" s="568"/>
      <c r="D21" s="565"/>
      <c r="E21" s="357"/>
      <c r="F21" s="18"/>
    </row>
    <row r="22" spans="1:6" x14ac:dyDescent="0.3">
      <c r="A22" s="356"/>
      <c r="B22" s="18"/>
      <c r="C22" s="568"/>
      <c r="D22" s="565"/>
      <c r="E22" s="357"/>
      <c r="F22" s="18"/>
    </row>
    <row r="23" spans="1:6" x14ac:dyDescent="0.3">
      <c r="A23" s="356"/>
      <c r="B23" s="18"/>
      <c r="C23" s="568"/>
      <c r="D23" s="565"/>
      <c r="E23" s="357"/>
      <c r="F23" s="18"/>
    </row>
    <row r="24" spans="1:6" x14ac:dyDescent="0.3">
      <c r="A24" s="356"/>
      <c r="B24" s="18"/>
      <c r="C24" s="568"/>
      <c r="D24" s="565"/>
      <c r="E24" s="357"/>
      <c r="F24" s="18"/>
    </row>
    <row r="25" spans="1:6" x14ac:dyDescent="0.3">
      <c r="A25" s="356"/>
      <c r="B25" s="18"/>
      <c r="C25" s="568"/>
      <c r="D25" s="565"/>
      <c r="E25" s="357"/>
      <c r="F25" s="18"/>
    </row>
    <row r="26" spans="1:6" x14ac:dyDescent="0.3">
      <c r="A26" s="356"/>
      <c r="B26" s="18"/>
      <c r="C26" s="568"/>
      <c r="D26" s="565"/>
      <c r="E26" s="357"/>
      <c r="F26" s="18"/>
    </row>
    <row r="27" spans="1:6" x14ac:dyDescent="0.3">
      <c r="A27" s="356"/>
      <c r="B27" s="18"/>
      <c r="C27" s="568"/>
      <c r="D27" s="565"/>
      <c r="E27" s="357"/>
      <c r="F27" s="18"/>
    </row>
    <row r="28" spans="1:6" x14ac:dyDescent="0.3">
      <c r="A28" s="356"/>
      <c r="B28" s="18"/>
      <c r="C28" s="568"/>
      <c r="D28" s="565"/>
      <c r="E28" s="357"/>
      <c r="F28" s="18"/>
    </row>
    <row r="29" spans="1:6" x14ac:dyDescent="0.3">
      <c r="A29" s="356"/>
      <c r="B29" s="18"/>
      <c r="C29" s="568"/>
      <c r="D29" s="565"/>
      <c r="E29" s="357"/>
      <c r="F29" s="18"/>
    </row>
    <row r="30" spans="1:6" x14ac:dyDescent="0.3">
      <c r="A30" s="356"/>
      <c r="B30" s="18"/>
      <c r="C30" s="568"/>
      <c r="D30" s="565"/>
      <c r="E30" s="357"/>
      <c r="F30" s="18"/>
    </row>
    <row r="31" spans="1:6" x14ac:dyDescent="0.3">
      <c r="A31" s="356"/>
      <c r="B31" s="18"/>
      <c r="C31" s="568"/>
      <c r="D31" s="565"/>
      <c r="E31" s="357"/>
      <c r="F31" s="18"/>
    </row>
    <row r="32" spans="1:6" x14ac:dyDescent="0.3">
      <c r="A32" s="356"/>
      <c r="B32" s="18"/>
      <c r="C32" s="568"/>
      <c r="D32" s="565"/>
      <c r="E32" s="357"/>
      <c r="F32" s="18"/>
    </row>
    <row r="33" spans="1:6" x14ac:dyDescent="0.3">
      <c r="A33" s="356"/>
      <c r="B33" s="18"/>
      <c r="C33" s="568"/>
      <c r="D33" s="565"/>
      <c r="E33" s="357"/>
      <c r="F33" s="18"/>
    </row>
    <row r="34" spans="1:6" x14ac:dyDescent="0.3">
      <c r="A34" s="356"/>
      <c r="B34" s="18"/>
      <c r="C34" s="568"/>
      <c r="D34" s="565"/>
      <c r="E34" s="357"/>
      <c r="F34" s="18"/>
    </row>
    <row r="35" spans="1:6" ht="17.25" thickBot="1" x14ac:dyDescent="0.35">
      <c r="A35" s="358"/>
      <c r="B35" s="359"/>
      <c r="C35" s="568"/>
      <c r="D35" s="565"/>
      <c r="E35" s="357"/>
      <c r="F35" s="18"/>
    </row>
    <row r="36" spans="1:6" ht="25.5" x14ac:dyDescent="0.35">
      <c r="A36" s="360" t="s">
        <v>803</v>
      </c>
      <c r="B36" s="32" t="s">
        <v>804</v>
      </c>
      <c r="C36" s="570"/>
      <c r="D36" s="570"/>
      <c r="E36" s="570"/>
      <c r="F36" s="18"/>
    </row>
    <row r="37" spans="1:6" x14ac:dyDescent="0.3">
      <c r="B37" s="32" t="s">
        <v>805</v>
      </c>
      <c r="C37" s="18"/>
      <c r="D37" s="18"/>
      <c r="E37" s="18"/>
      <c r="F37" s="18"/>
    </row>
    <row r="38" spans="1:6" x14ac:dyDescent="0.3">
      <c r="A38" s="419" t="s">
        <v>81</v>
      </c>
      <c r="C38" s="361"/>
      <c r="D38" s="361"/>
      <c r="E38" s="18"/>
      <c r="F38" s="18"/>
    </row>
    <row r="39" spans="1:6" ht="10.5" customHeight="1" x14ac:dyDescent="0.3">
      <c r="A39" s="571"/>
      <c r="B39" s="361"/>
      <c r="C39" s="361"/>
      <c r="D39" s="361"/>
      <c r="E39" s="18"/>
    </row>
    <row r="40" spans="1:6" x14ac:dyDescent="0.3">
      <c r="A40" s="571"/>
      <c r="B40" s="18"/>
      <c r="C40" s="18"/>
      <c r="D40" s="18"/>
      <c r="E40" s="18"/>
    </row>
    <row r="42" spans="1:6" x14ac:dyDescent="0.3">
      <c r="A42" s="419"/>
    </row>
    <row r="43" spans="1:6" x14ac:dyDescent="0.3">
      <c r="A43" s="419"/>
    </row>
  </sheetData>
  <mergeCells count="5">
    <mergeCell ref="A1:E1"/>
    <mergeCell ref="A2:E2"/>
    <mergeCell ref="A3:E3"/>
    <mergeCell ref="A4:E4"/>
    <mergeCell ref="A7:B7"/>
  </mergeCells>
  <printOptions horizontalCentered="1"/>
  <pageMargins left="0.39370078740157483" right="0.39370078740157483" top="0.74803149606299213" bottom="0.74803149606299213" header="0.31496062992125984" footer="0.31496062992125984"/>
  <pageSetup scale="9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
  <sheetViews>
    <sheetView view="pageLayout" topLeftCell="B1" zoomScale="80" zoomScaleNormal="100" zoomScalePageLayoutView="80" workbookViewId="0">
      <selection activeCell="L7" sqref="L7"/>
    </sheetView>
  </sheetViews>
  <sheetFormatPr baseColWidth="10" defaultColWidth="11" defaultRowHeight="15.75" x14ac:dyDescent="0.25"/>
  <cols>
    <col min="1" max="1" width="16.28515625" style="874" customWidth="1"/>
    <col min="2" max="2" width="46.140625" style="865" customWidth="1"/>
    <col min="3" max="3" width="14.42578125" style="873" customWidth="1"/>
    <col min="4" max="4" width="6.7109375" style="873" customWidth="1"/>
    <col min="5" max="5" width="6" style="873" customWidth="1"/>
    <col min="6" max="6" width="8.28515625" style="873" customWidth="1"/>
    <col min="7" max="20" width="10.7109375" style="865" customWidth="1"/>
    <col min="21" max="21" width="11.42578125" style="865" customWidth="1"/>
    <col min="22" max="16384" width="11" style="865"/>
  </cols>
  <sheetData>
    <row r="1" spans="1:21" s="846" customFormat="1" ht="19.5" customHeight="1" x14ac:dyDescent="0.25">
      <c r="A1" s="841" t="s">
        <v>891</v>
      </c>
      <c r="B1" s="842"/>
      <c r="C1" s="843"/>
      <c r="D1" s="843"/>
      <c r="E1" s="843"/>
      <c r="F1" s="843"/>
      <c r="G1" s="844"/>
      <c r="H1" s="844"/>
      <c r="I1" s="844"/>
      <c r="J1" s="844"/>
      <c r="K1" s="844"/>
      <c r="L1" s="844"/>
      <c r="M1" s="845"/>
      <c r="N1" s="845"/>
      <c r="O1" s="845"/>
      <c r="P1" s="845"/>
      <c r="Q1" s="845"/>
      <c r="R1" s="845"/>
      <c r="S1" s="845"/>
      <c r="T1" s="845"/>
      <c r="U1" s="845"/>
    </row>
    <row r="2" spans="1:21" s="846" customFormat="1" ht="19.5" customHeight="1" x14ac:dyDescent="0.25">
      <c r="A2" s="841" t="s">
        <v>892</v>
      </c>
      <c r="B2" s="847"/>
      <c r="C2" s="843"/>
      <c r="D2" s="843"/>
      <c r="E2" s="843"/>
      <c r="F2" s="843"/>
      <c r="G2" s="844"/>
      <c r="H2" s="844"/>
      <c r="I2" s="844"/>
      <c r="J2" s="844"/>
      <c r="K2" s="844"/>
      <c r="L2" s="844"/>
      <c r="M2" s="845"/>
      <c r="N2" s="845"/>
      <c r="O2" s="845"/>
      <c r="P2" s="845"/>
      <c r="Q2" s="845"/>
      <c r="R2" s="845"/>
      <c r="S2" s="845"/>
      <c r="T2" s="845"/>
      <c r="U2" s="845"/>
    </row>
    <row r="3" spans="1:21" s="846" customFormat="1" ht="12.75" x14ac:dyDescent="0.25">
      <c r="B3" s="847"/>
      <c r="C3" s="843"/>
      <c r="D3" s="843"/>
      <c r="E3" s="843"/>
      <c r="F3" s="843"/>
      <c r="G3" s="844"/>
      <c r="H3" s="844"/>
      <c r="I3" s="844"/>
      <c r="J3" s="844"/>
      <c r="K3" s="844"/>
      <c r="L3" s="844"/>
      <c r="M3" s="845"/>
      <c r="N3" s="845"/>
      <c r="O3" s="845"/>
      <c r="P3" s="845"/>
      <c r="Q3" s="845"/>
      <c r="R3" s="845"/>
      <c r="S3" s="845"/>
      <c r="T3" s="845"/>
      <c r="U3" s="845"/>
    </row>
    <row r="4" spans="1:21" s="846" customFormat="1" ht="26.25" customHeight="1" x14ac:dyDescent="0.2">
      <c r="A4" s="1534" t="s">
        <v>893</v>
      </c>
      <c r="B4" s="1535" t="s">
        <v>894</v>
      </c>
      <c r="C4" s="1535" t="s">
        <v>895</v>
      </c>
      <c r="D4" s="1533" t="s">
        <v>896</v>
      </c>
      <c r="E4" s="1533" t="s">
        <v>897</v>
      </c>
      <c r="F4" s="1533" t="s">
        <v>898</v>
      </c>
      <c r="G4" s="848" t="s">
        <v>899</v>
      </c>
      <c r="H4" s="849"/>
      <c r="I4" s="849"/>
      <c r="J4" s="849"/>
      <c r="K4" s="849"/>
      <c r="L4" s="849" t="s">
        <v>900</v>
      </c>
      <c r="M4" s="849"/>
      <c r="N4" s="849"/>
      <c r="O4" s="849"/>
      <c r="P4" s="849"/>
      <c r="Q4" s="850" t="s">
        <v>901</v>
      </c>
      <c r="R4" s="850"/>
      <c r="S4" s="851"/>
      <c r="T4" s="851"/>
      <c r="U4" s="852" t="s">
        <v>902</v>
      </c>
    </row>
    <row r="5" spans="1:21" s="846" customFormat="1" ht="51" customHeight="1" x14ac:dyDescent="0.2">
      <c r="A5" s="1534"/>
      <c r="B5" s="1535"/>
      <c r="C5" s="1535"/>
      <c r="D5" s="1533"/>
      <c r="E5" s="1533"/>
      <c r="F5" s="1533"/>
      <c r="G5" s="853" t="s">
        <v>903</v>
      </c>
      <c r="H5" s="853" t="s">
        <v>904</v>
      </c>
      <c r="I5" s="853" t="s">
        <v>905</v>
      </c>
      <c r="J5" s="853" t="s">
        <v>906</v>
      </c>
      <c r="K5" s="853" t="s">
        <v>907</v>
      </c>
      <c r="L5" s="853" t="s">
        <v>903</v>
      </c>
      <c r="M5" s="853" t="s">
        <v>904</v>
      </c>
      <c r="N5" s="853" t="s">
        <v>905</v>
      </c>
      <c r="O5" s="853" t="s">
        <v>906</v>
      </c>
      <c r="P5" s="854" t="s">
        <v>907</v>
      </c>
      <c r="Q5" s="853" t="s">
        <v>903</v>
      </c>
      <c r="R5" s="853" t="s">
        <v>904</v>
      </c>
      <c r="S5" s="853" t="s">
        <v>905</v>
      </c>
      <c r="T5" s="853" t="s">
        <v>906</v>
      </c>
      <c r="U5" s="855" t="s">
        <v>908</v>
      </c>
    </row>
    <row r="6" spans="1:21" s="846" customFormat="1" ht="24" customHeight="1" x14ac:dyDescent="0.25">
      <c r="A6" s="856"/>
      <c r="B6" s="857"/>
      <c r="C6" s="858"/>
      <c r="D6" s="858"/>
      <c r="E6" s="858"/>
      <c r="F6" s="858"/>
      <c r="G6" s="859"/>
      <c r="H6" s="859"/>
      <c r="I6" s="859"/>
      <c r="J6" s="859"/>
      <c r="K6" s="859"/>
      <c r="L6" s="859"/>
      <c r="M6" s="859"/>
      <c r="N6" s="859"/>
      <c r="O6" s="859"/>
      <c r="P6" s="860"/>
      <c r="Q6" s="859"/>
      <c r="R6" s="859"/>
      <c r="S6" s="859"/>
      <c r="T6" s="859"/>
      <c r="U6" s="861"/>
    </row>
    <row r="7" spans="1:21" s="846" customFormat="1" ht="24" customHeight="1" x14ac:dyDescent="0.25">
      <c r="A7" s="862"/>
      <c r="B7" s="857"/>
      <c r="C7" s="858"/>
      <c r="D7" s="858"/>
      <c r="E7" s="858"/>
      <c r="F7" s="858"/>
      <c r="G7" s="859"/>
      <c r="H7" s="859"/>
      <c r="I7" s="859"/>
      <c r="J7" s="859"/>
      <c r="K7" s="859"/>
      <c r="L7" s="859"/>
      <c r="M7" s="859"/>
      <c r="N7" s="859"/>
      <c r="O7" s="859"/>
      <c r="P7" s="860"/>
      <c r="Q7" s="859"/>
      <c r="R7" s="859"/>
      <c r="S7" s="859"/>
      <c r="T7" s="859"/>
      <c r="U7" s="861"/>
    </row>
    <row r="8" spans="1:21" ht="22.5" customHeight="1" x14ac:dyDescent="0.25">
      <c r="A8" s="1528"/>
      <c r="B8" s="1529"/>
      <c r="C8" s="1530"/>
      <c r="D8" s="1530"/>
      <c r="E8" s="1529"/>
      <c r="F8" s="863" t="s">
        <v>909</v>
      </c>
      <c r="G8" s="864"/>
      <c r="H8" s="864"/>
      <c r="I8" s="864"/>
      <c r="J8" s="864"/>
      <c r="K8" s="864"/>
      <c r="L8" s="864"/>
      <c r="M8" s="864"/>
      <c r="N8" s="864"/>
      <c r="O8" s="864"/>
      <c r="P8" s="864"/>
      <c r="Q8" s="864"/>
      <c r="R8" s="864"/>
      <c r="S8" s="864"/>
      <c r="T8" s="864"/>
      <c r="U8" s="1531"/>
    </row>
    <row r="9" spans="1:21" ht="22.5" customHeight="1" x14ac:dyDescent="0.25">
      <c r="A9" s="1528"/>
      <c r="B9" s="1529"/>
      <c r="C9" s="1530"/>
      <c r="D9" s="1530"/>
      <c r="E9" s="1529"/>
      <c r="F9" s="866" t="s">
        <v>910</v>
      </c>
      <c r="G9" s="867"/>
      <c r="H9" s="868"/>
      <c r="I9" s="867"/>
      <c r="J9" s="868"/>
      <c r="K9" s="868"/>
      <c r="L9" s="867"/>
      <c r="M9" s="868"/>
      <c r="N9" s="867"/>
      <c r="O9" s="868"/>
      <c r="P9" s="868"/>
      <c r="Q9" s="867"/>
      <c r="R9" s="868"/>
      <c r="S9" s="867"/>
      <c r="T9" s="867"/>
      <c r="U9" s="1532"/>
    </row>
    <row r="10" spans="1:21" ht="22.5" customHeight="1" x14ac:dyDescent="0.25">
      <c r="A10" s="1528"/>
      <c r="B10" s="1529"/>
      <c r="C10" s="1530"/>
      <c r="D10" s="1530"/>
      <c r="E10" s="1529"/>
      <c r="F10" s="866" t="s">
        <v>911</v>
      </c>
      <c r="G10" s="867"/>
      <c r="H10" s="868"/>
      <c r="I10" s="867"/>
      <c r="J10" s="868"/>
      <c r="K10" s="868"/>
      <c r="L10" s="867"/>
      <c r="M10" s="868"/>
      <c r="N10" s="867"/>
      <c r="O10" s="868"/>
      <c r="P10" s="868"/>
      <c r="Q10" s="867"/>
      <c r="R10" s="868"/>
      <c r="S10" s="867"/>
      <c r="T10" s="867"/>
      <c r="U10" s="1532"/>
    </row>
    <row r="11" spans="1:21" ht="9.75" customHeight="1" x14ac:dyDescent="0.25">
      <c r="A11" s="869"/>
      <c r="B11" s="870"/>
      <c r="C11" s="871"/>
      <c r="D11" s="871"/>
      <c r="E11" s="871"/>
      <c r="F11" s="871"/>
      <c r="G11" s="870"/>
      <c r="H11" s="870"/>
      <c r="I11" s="870"/>
      <c r="J11" s="870"/>
      <c r="K11" s="870"/>
      <c r="L11" s="870"/>
      <c r="M11" s="870"/>
      <c r="N11" s="870"/>
      <c r="O11" s="870"/>
      <c r="P11" s="870"/>
      <c r="Q11" s="870"/>
      <c r="R11" s="870"/>
      <c r="S11" s="870"/>
      <c r="T11" s="870"/>
      <c r="U11" s="870"/>
    </row>
    <row r="12" spans="1:21" ht="26.25" customHeight="1" x14ac:dyDescent="0.25">
      <c r="A12" s="1526" t="s">
        <v>912</v>
      </c>
      <c r="B12" s="1526"/>
      <c r="C12" s="1526"/>
      <c r="D12" s="1526"/>
      <c r="E12" s="1526"/>
      <c r="F12" s="1526"/>
      <c r="G12" s="1526"/>
      <c r="H12" s="1526"/>
      <c r="I12" s="1526"/>
      <c r="J12" s="1526"/>
      <c r="K12" s="1526"/>
      <c r="L12" s="1526"/>
      <c r="M12" s="1526"/>
      <c r="N12" s="1526"/>
      <c r="O12" s="1526"/>
      <c r="P12" s="1526"/>
      <c r="Q12" s="1526"/>
      <c r="R12" s="1526"/>
      <c r="S12" s="1526"/>
      <c r="T12" s="1526"/>
      <c r="U12" s="1526"/>
    </row>
    <row r="13" spans="1:21" ht="56.25" customHeight="1" x14ac:dyDescent="0.25">
      <c r="A13" s="1527"/>
      <c r="B13" s="1527"/>
      <c r="C13" s="1527"/>
      <c r="D13" s="1527"/>
      <c r="E13" s="1527"/>
      <c r="F13" s="1527"/>
      <c r="G13" s="1527"/>
      <c r="H13" s="1527"/>
      <c r="I13" s="1527"/>
      <c r="J13" s="1527"/>
      <c r="K13" s="1527"/>
      <c r="L13" s="1527"/>
      <c r="M13" s="1527"/>
      <c r="N13" s="1527"/>
      <c r="O13" s="1527"/>
      <c r="P13" s="1527"/>
      <c r="Q13" s="1527"/>
      <c r="R13" s="1527"/>
      <c r="S13" s="1527"/>
      <c r="T13" s="1527"/>
      <c r="U13" s="1527"/>
    </row>
    <row r="15" spans="1:21" ht="26.25" x14ac:dyDescent="0.25">
      <c r="A15" s="872" t="s">
        <v>913</v>
      </c>
    </row>
  </sheetData>
  <protectedRanges>
    <protectedRange sqref="A11:F11 A14:F199" name="Rango2"/>
    <protectedRange sqref="O1:P4 T1:T4 T10:T1048576 O10:P11 O14:P1048576" name="Rango1"/>
  </protectedRanges>
  <mergeCells count="14">
    <mergeCell ref="F4:F5"/>
    <mergeCell ref="A4:A5"/>
    <mergeCell ref="B4:B5"/>
    <mergeCell ref="C4:C5"/>
    <mergeCell ref="D4:D5"/>
    <mergeCell ref="E4:E5"/>
    <mergeCell ref="A12:U12"/>
    <mergeCell ref="A13:U13"/>
    <mergeCell ref="A8:A10"/>
    <mergeCell ref="B8:B10"/>
    <mergeCell ref="C8:C10"/>
    <mergeCell ref="D8:D10"/>
    <mergeCell ref="E8:E10"/>
    <mergeCell ref="U8:U10"/>
  </mergeCells>
  <pageMargins left="0.35433070866141736" right="0.35433070866141736" top="1.1811023622047245" bottom="0.39370078740157483" header="0.31496062992125984" footer="0.31496062992125984"/>
  <pageSetup scale="50" fitToHeight="10" orientation="landscape" r:id="rId1"/>
  <headerFooter>
    <oddHeader>&amp;L&amp;G&amp;C&amp;"-,Negrita"&amp;20
GOBIERNO DEL ESTADO DE SONORA
INFORME DE AVANCE PROGRAMÁTICO 2019&amp;R&amp;"-,Negrita"&amp;14
&amp;16ETCA III-04
TRIMESTRE:__________________</oddHead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view="pageLayout" zoomScale="70" zoomScaleNormal="100" zoomScalePageLayoutView="70" workbookViewId="0">
      <selection activeCell="G9" sqref="G9"/>
    </sheetView>
  </sheetViews>
  <sheetFormatPr baseColWidth="10" defaultRowHeight="15" x14ac:dyDescent="0.25"/>
  <cols>
    <col min="1" max="1" width="16.140625" customWidth="1"/>
    <col min="2" max="2" width="39.28515625" customWidth="1"/>
    <col min="3" max="3" width="25.42578125" customWidth="1"/>
    <col min="4" max="4" width="31.85546875" customWidth="1"/>
    <col min="5" max="5" width="12.28515625" customWidth="1"/>
    <col min="6" max="6" width="12.42578125" customWidth="1"/>
    <col min="7" max="7" width="11.85546875" customWidth="1"/>
    <col min="8" max="8" width="17.28515625" customWidth="1"/>
    <col min="9" max="9" width="17" customWidth="1"/>
    <col min="10" max="10" width="20.5703125" customWidth="1"/>
    <col min="11" max="11" width="23.7109375" customWidth="1"/>
    <col min="12" max="12" width="8.5703125" customWidth="1"/>
    <col min="13" max="13" width="8.42578125" customWidth="1"/>
    <col min="14" max="14" width="7.28515625" customWidth="1"/>
  </cols>
  <sheetData>
    <row r="1" spans="1:13" ht="16.5" thickBot="1" x14ac:dyDescent="0.3">
      <c r="A1" s="1553" t="s">
        <v>914</v>
      </c>
      <c r="B1" s="1554"/>
      <c r="C1" s="1555"/>
      <c r="D1" s="1556"/>
      <c r="E1" s="1556"/>
      <c r="F1" s="1556"/>
      <c r="G1" s="1556"/>
      <c r="H1" s="1556"/>
      <c r="I1" s="1556"/>
      <c r="J1" s="1556"/>
      <c r="K1" s="1557"/>
    </row>
    <row r="2" spans="1:13" ht="16.5" thickBot="1" x14ac:dyDescent="0.3">
      <c r="A2" s="1553" t="s">
        <v>915</v>
      </c>
      <c r="B2" s="1554"/>
      <c r="C2" s="1555"/>
      <c r="D2" s="1556"/>
      <c r="E2" s="1556"/>
      <c r="F2" s="1556"/>
      <c r="G2" s="1556"/>
      <c r="H2" s="1556"/>
      <c r="I2" s="1556"/>
      <c r="J2" s="1556"/>
      <c r="K2" s="1557"/>
    </row>
    <row r="3" spans="1:13" ht="17.25" customHeight="1" thickBot="1" x14ac:dyDescent="0.3">
      <c r="A3" s="1553" t="s">
        <v>916</v>
      </c>
      <c r="B3" s="1554"/>
      <c r="C3" s="1555"/>
      <c r="D3" s="1556"/>
      <c r="E3" s="1556"/>
      <c r="F3" s="1556"/>
      <c r="G3" s="1556"/>
      <c r="H3" s="1556"/>
      <c r="I3" s="1556"/>
      <c r="J3" s="1556"/>
      <c r="K3" s="1557"/>
    </row>
    <row r="4" spans="1:13" ht="16.5" thickBot="1" x14ac:dyDescent="0.3">
      <c r="A4" s="1553" t="s">
        <v>917</v>
      </c>
      <c r="B4" s="1554"/>
      <c r="C4" s="1555"/>
      <c r="D4" s="1556"/>
      <c r="E4" s="1556"/>
      <c r="F4" s="1556"/>
      <c r="G4" s="1556"/>
      <c r="H4" s="1556"/>
      <c r="I4" s="1556"/>
      <c r="J4" s="1556"/>
      <c r="K4" s="1557"/>
    </row>
    <row r="5" spans="1:13" ht="16.5" thickBot="1" x14ac:dyDescent="0.3">
      <c r="A5" s="1553" t="s">
        <v>918</v>
      </c>
      <c r="B5" s="1554"/>
      <c r="C5" s="1558"/>
      <c r="D5" s="1559"/>
      <c r="E5" s="1559"/>
      <c r="F5" s="1559"/>
      <c r="G5" s="1559"/>
      <c r="H5" s="1559"/>
      <c r="I5" s="1559"/>
      <c r="J5" s="1559"/>
      <c r="K5" s="1560"/>
    </row>
    <row r="6" spans="1:13" ht="16.5" customHeight="1" x14ac:dyDescent="0.25"/>
    <row r="7" spans="1:13" ht="31.5" customHeight="1" x14ac:dyDescent="0.25">
      <c r="A7" s="1561"/>
      <c r="B7" s="875" t="s">
        <v>919</v>
      </c>
      <c r="C7" s="1563" t="s">
        <v>920</v>
      </c>
      <c r="D7" s="1563"/>
      <c r="E7" s="1563"/>
      <c r="F7" s="1563"/>
      <c r="G7" s="1563"/>
      <c r="H7" s="875" t="s">
        <v>921</v>
      </c>
      <c r="I7" s="1564" t="s">
        <v>922</v>
      </c>
      <c r="J7" s="876" t="s">
        <v>923</v>
      </c>
      <c r="K7" s="1565" t="s">
        <v>924</v>
      </c>
      <c r="L7" s="1549" t="s">
        <v>925</v>
      </c>
      <c r="M7" s="1549" t="s">
        <v>926</v>
      </c>
    </row>
    <row r="8" spans="1:13" ht="33.75" customHeight="1" x14ac:dyDescent="0.25">
      <c r="A8" s="1562"/>
      <c r="B8" s="877" t="s">
        <v>927</v>
      </c>
      <c r="C8" s="877" t="s">
        <v>928</v>
      </c>
      <c r="D8" s="877" t="s">
        <v>929</v>
      </c>
      <c r="E8" s="877" t="s">
        <v>930</v>
      </c>
      <c r="F8" s="878" t="s">
        <v>931</v>
      </c>
      <c r="G8" s="878" t="s">
        <v>932</v>
      </c>
      <c r="H8" s="877" t="s">
        <v>933</v>
      </c>
      <c r="I8" s="1564"/>
      <c r="J8" s="879" t="s">
        <v>934</v>
      </c>
      <c r="K8" s="1565"/>
      <c r="L8" s="1549"/>
      <c r="M8" s="1549"/>
    </row>
    <row r="9" spans="1:13" ht="144.75" customHeight="1" x14ac:dyDescent="0.25">
      <c r="A9" s="877" t="s">
        <v>935</v>
      </c>
      <c r="B9" s="880"/>
      <c r="C9" s="880"/>
      <c r="D9" s="880"/>
      <c r="E9" s="880"/>
      <c r="F9" s="880"/>
      <c r="G9" s="880"/>
      <c r="H9" s="881"/>
      <c r="I9" s="882"/>
      <c r="J9" s="880"/>
      <c r="K9" s="880"/>
      <c r="L9" s="883"/>
      <c r="M9" s="884"/>
    </row>
    <row r="10" spans="1:13" ht="74.25" customHeight="1" x14ac:dyDescent="0.25">
      <c r="A10" s="885" t="s">
        <v>936</v>
      </c>
      <c r="B10" s="1550"/>
      <c r="C10" s="1538"/>
      <c r="D10" s="1538"/>
      <c r="E10" s="1538"/>
      <c r="F10" s="1538"/>
      <c r="G10" s="1538"/>
      <c r="H10" s="1551"/>
      <c r="I10" s="1542"/>
      <c r="J10" s="1542"/>
      <c r="K10" s="1538"/>
      <c r="L10" s="886"/>
      <c r="M10" s="887"/>
    </row>
    <row r="11" spans="1:13" ht="115.5" customHeight="1" x14ac:dyDescent="0.25">
      <c r="A11" s="888"/>
      <c r="B11" s="1550"/>
      <c r="C11" s="1539"/>
      <c r="D11" s="1539"/>
      <c r="E11" s="1539"/>
      <c r="F11" s="1539"/>
      <c r="G11" s="1539"/>
      <c r="H11" s="1552"/>
      <c r="I11" s="1543"/>
      <c r="J11" s="1543"/>
      <c r="K11" s="1539"/>
      <c r="L11" s="889"/>
      <c r="M11" s="890"/>
    </row>
    <row r="12" spans="1:13" ht="69.75" customHeight="1" x14ac:dyDescent="0.25">
      <c r="A12" s="1544" t="s">
        <v>937</v>
      </c>
      <c r="B12" s="880"/>
      <c r="C12" s="880"/>
      <c r="D12" s="880"/>
      <c r="E12" s="880"/>
      <c r="F12" s="880"/>
      <c r="G12" s="880"/>
      <c r="H12" s="891"/>
      <c r="I12" s="881"/>
      <c r="J12" s="880"/>
      <c r="K12" s="880"/>
      <c r="L12" s="892"/>
      <c r="M12" s="893"/>
    </row>
    <row r="13" spans="1:13" ht="95.25" customHeight="1" x14ac:dyDescent="0.25">
      <c r="A13" s="1545"/>
      <c r="B13" s="880"/>
      <c r="C13" s="880"/>
      <c r="D13" s="880"/>
      <c r="E13" s="880"/>
      <c r="F13" s="880"/>
      <c r="G13" s="880"/>
      <c r="H13" s="894"/>
      <c r="I13" s="891"/>
      <c r="J13" s="880"/>
      <c r="K13" s="880"/>
      <c r="L13" s="895"/>
      <c r="M13" s="896"/>
    </row>
    <row r="14" spans="1:13" ht="71.25" customHeight="1" x14ac:dyDescent="0.25">
      <c r="A14" s="1545"/>
      <c r="B14" s="1538"/>
      <c r="C14" s="1542"/>
      <c r="D14" s="1542"/>
      <c r="E14" s="1542"/>
      <c r="F14" s="1542"/>
      <c r="G14" s="1542"/>
      <c r="H14" s="1547"/>
      <c r="I14" s="1536"/>
      <c r="J14" s="1538"/>
      <c r="K14" s="897"/>
      <c r="L14" s="898"/>
      <c r="M14" s="899"/>
    </row>
    <row r="15" spans="1:13" ht="32.25" customHeight="1" x14ac:dyDescent="0.25">
      <c r="A15" s="1545"/>
      <c r="B15" s="1539"/>
      <c r="C15" s="1543"/>
      <c r="D15" s="1543"/>
      <c r="E15" s="1543"/>
      <c r="F15" s="1543"/>
      <c r="G15" s="1543"/>
      <c r="H15" s="1548"/>
      <c r="I15" s="1537"/>
      <c r="J15" s="1539"/>
      <c r="K15" s="900"/>
      <c r="L15" s="901"/>
      <c r="M15" s="902"/>
    </row>
    <row r="16" spans="1:13" x14ac:dyDescent="0.25">
      <c r="A16" s="1546"/>
      <c r="B16" s="903"/>
      <c r="C16" s="904"/>
      <c r="D16" s="904"/>
      <c r="E16" s="904"/>
      <c r="F16" s="904"/>
      <c r="G16" s="904"/>
      <c r="H16" s="905"/>
      <c r="I16" s="906"/>
      <c r="J16" s="907"/>
      <c r="K16" s="880"/>
      <c r="L16" s="908"/>
      <c r="M16" s="896"/>
    </row>
    <row r="17" spans="1:13" x14ac:dyDescent="0.25">
      <c r="A17" s="1540" t="s">
        <v>938</v>
      </c>
      <c r="B17" s="880"/>
      <c r="C17" s="880"/>
      <c r="D17" s="880"/>
      <c r="E17" s="880"/>
      <c r="F17" s="880"/>
      <c r="G17" s="880"/>
      <c r="H17" s="891"/>
      <c r="I17" s="909"/>
      <c r="J17" s="880"/>
      <c r="K17" s="880"/>
      <c r="L17" s="910"/>
      <c r="M17" s="911"/>
    </row>
    <row r="18" spans="1:13" x14ac:dyDescent="0.25">
      <c r="A18" s="1541"/>
      <c r="B18" s="880"/>
      <c r="C18" s="880"/>
      <c r="D18" s="880"/>
      <c r="E18" s="880"/>
      <c r="F18" s="880"/>
      <c r="G18" s="880"/>
      <c r="H18" s="891"/>
      <c r="I18" s="909"/>
      <c r="J18" s="903"/>
      <c r="K18" s="903"/>
      <c r="L18" s="912"/>
      <c r="M18" s="899"/>
    </row>
    <row r="19" spans="1:13" ht="68.25" customHeight="1" x14ac:dyDescent="0.25">
      <c r="A19" s="1541"/>
      <c r="B19" s="880"/>
      <c r="C19" s="880"/>
      <c r="D19" s="880"/>
      <c r="E19" s="880"/>
      <c r="F19" s="880"/>
      <c r="G19" s="880"/>
      <c r="H19" s="891"/>
      <c r="I19" s="891"/>
      <c r="J19" s="880"/>
      <c r="K19" s="880"/>
      <c r="L19" s="913"/>
      <c r="M19" s="896"/>
    </row>
    <row r="20" spans="1:13" ht="59.25" customHeight="1" x14ac:dyDescent="0.25">
      <c r="A20" s="1541"/>
      <c r="B20" s="880"/>
      <c r="C20" s="880"/>
      <c r="D20" s="880"/>
      <c r="E20" s="880"/>
      <c r="F20" s="880"/>
      <c r="G20" s="880"/>
      <c r="H20" s="891"/>
      <c r="I20" s="891"/>
      <c r="J20" s="880"/>
      <c r="K20" s="880"/>
      <c r="L20" s="895"/>
      <c r="M20" s="899"/>
    </row>
    <row r="21" spans="1:13" ht="64.5" customHeight="1" x14ac:dyDescent="0.25">
      <c r="A21" s="1541"/>
      <c r="B21" s="880"/>
      <c r="C21" s="880"/>
      <c r="D21" s="880"/>
      <c r="E21" s="880"/>
      <c r="F21" s="880"/>
      <c r="G21" s="880"/>
      <c r="H21" s="891"/>
      <c r="I21" s="891"/>
      <c r="J21" s="903"/>
      <c r="K21" s="903"/>
      <c r="L21" s="914"/>
      <c r="M21" s="899"/>
    </row>
    <row r="22" spans="1:13" ht="64.5" customHeight="1" x14ac:dyDescent="0.25">
      <c r="A22" s="1541"/>
      <c r="B22" s="880"/>
      <c r="C22" s="880"/>
      <c r="D22" s="880"/>
      <c r="E22" s="880"/>
      <c r="F22" s="880"/>
      <c r="G22" s="880"/>
      <c r="H22" s="891"/>
      <c r="I22" s="891"/>
      <c r="J22" s="915"/>
      <c r="K22" s="897"/>
      <c r="L22" s="916"/>
      <c r="M22" s="893"/>
    </row>
    <row r="23" spans="1:13" x14ac:dyDescent="0.25">
      <c r="A23" s="1541"/>
      <c r="B23" s="917"/>
      <c r="C23" s="917"/>
      <c r="D23" s="917"/>
      <c r="E23" s="917"/>
      <c r="F23" s="917"/>
      <c r="G23" s="917"/>
      <c r="H23" s="918"/>
      <c r="I23" s="919"/>
      <c r="J23" s="917"/>
      <c r="K23" s="920"/>
      <c r="L23" s="921"/>
      <c r="M23" s="922"/>
    </row>
    <row r="24" spans="1:13" x14ac:dyDescent="0.25">
      <c r="I24" s="923"/>
    </row>
    <row r="25" spans="1:13" x14ac:dyDescent="0.25">
      <c r="B25" s="924"/>
      <c r="C25" s="925"/>
      <c r="D25" s="925"/>
      <c r="E25" s="925"/>
      <c r="F25" s="925"/>
      <c r="G25" s="925"/>
    </row>
  </sheetData>
  <mergeCells count="37">
    <mergeCell ref="A1:B1"/>
    <mergeCell ref="C1:K1"/>
    <mergeCell ref="A2:B2"/>
    <mergeCell ref="C2:K2"/>
    <mergeCell ref="A3:B3"/>
    <mergeCell ref="C3:K3"/>
    <mergeCell ref="A4:B4"/>
    <mergeCell ref="C4:K4"/>
    <mergeCell ref="A5:B5"/>
    <mergeCell ref="C5:K5"/>
    <mergeCell ref="A7:A8"/>
    <mergeCell ref="C7:G7"/>
    <mergeCell ref="I7:I8"/>
    <mergeCell ref="K7:K8"/>
    <mergeCell ref="L7:L8"/>
    <mergeCell ref="M7:M8"/>
    <mergeCell ref="B10:B11"/>
    <mergeCell ref="C10:C11"/>
    <mergeCell ref="D10:D11"/>
    <mergeCell ref="E10:E11"/>
    <mergeCell ref="F10:F11"/>
    <mergeCell ref="G10:G11"/>
    <mergeCell ref="H10:H11"/>
    <mergeCell ref="I10:I11"/>
    <mergeCell ref="I14:I15"/>
    <mergeCell ref="J14:J15"/>
    <mergeCell ref="A17:A23"/>
    <mergeCell ref="J10:J11"/>
    <mergeCell ref="K10:K11"/>
    <mergeCell ref="A12:A16"/>
    <mergeCell ref="B14:B15"/>
    <mergeCell ref="C14:C15"/>
    <mergeCell ref="D14:D15"/>
    <mergeCell ref="E14:E15"/>
    <mergeCell ref="F14:F15"/>
    <mergeCell ref="G14:G15"/>
    <mergeCell ref="H14:H15"/>
  </mergeCells>
  <pageMargins left="0.27559055118110237" right="0.23622047244094491" top="0.94488188976377963" bottom="0.47244094488188981" header="0.39370078740157483" footer="0.31496062992125984"/>
  <pageSetup paperSize="5" scale="70" orientation="landscape" r:id="rId1"/>
  <headerFooter>
    <oddHeader>&amp;L&amp;8&amp;G&amp;C&amp;"-,Negrita"&amp;14MATRIZ DE INDICADORES DE RESULTADOS&amp;R&amp;"-,Negrita"&amp;16    MIR 2019</oddHead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41"/>
  <sheetViews>
    <sheetView view="pageBreakPreview" zoomScaleNormal="100" zoomScaleSheetLayoutView="100" workbookViewId="0">
      <selection activeCell="D14" sqref="D14"/>
    </sheetView>
  </sheetViews>
  <sheetFormatPr baseColWidth="10" defaultColWidth="11.28515625" defaultRowHeight="16.5" x14ac:dyDescent="0.3"/>
  <cols>
    <col min="1" max="1" width="4.28515625" style="111" customWidth="1"/>
    <col min="2" max="2" width="41" style="93" customWidth="1"/>
    <col min="3" max="5" width="15.7109375" style="93" customWidth="1"/>
    <col min="6" max="16384" width="11.28515625" style="93"/>
  </cols>
  <sheetData>
    <row r="1" spans="1:7" x14ac:dyDescent="0.3">
      <c r="A1" s="726"/>
      <c r="B1" s="1566" t="s">
        <v>1028</v>
      </c>
      <c r="C1" s="1566"/>
      <c r="D1" s="1566"/>
      <c r="E1" s="1566"/>
    </row>
    <row r="2" spans="1:7" x14ac:dyDescent="0.3">
      <c r="A2" s="307"/>
      <c r="B2" s="1505" t="s">
        <v>806</v>
      </c>
      <c r="C2" s="1505"/>
      <c r="D2" s="1505"/>
      <c r="E2" s="1505"/>
    </row>
    <row r="3" spans="1:7" x14ac:dyDescent="0.3">
      <c r="A3" s="727"/>
      <c r="B3" s="1567"/>
      <c r="C3" s="1567"/>
      <c r="D3" s="1567"/>
      <c r="E3" s="1567"/>
      <c r="G3" s="364"/>
    </row>
    <row r="4" spans="1:7" x14ac:dyDescent="0.3">
      <c r="A4" s="1568" t="str">
        <f>'CPCA-I-03'!A4</f>
        <v>Del 01 de ENERO al 31 de DICIEMBRE de 2024</v>
      </c>
      <c r="B4" s="1568"/>
      <c r="C4" s="1568"/>
      <c r="D4" s="1568"/>
      <c r="E4" s="1568"/>
    </row>
    <row r="5" spans="1:7" x14ac:dyDescent="0.3">
      <c r="A5" s="756"/>
      <c r="B5" s="1505" t="s">
        <v>807</v>
      </c>
      <c r="C5" s="1505"/>
      <c r="D5" s="728"/>
      <c r="E5" s="307"/>
    </row>
    <row r="6" spans="1:7" ht="6.75" customHeight="1" thickBot="1" x14ac:dyDescent="0.35">
      <c r="A6" s="726"/>
      <c r="B6" s="729"/>
      <c r="C6" s="729"/>
      <c r="D6" s="729"/>
      <c r="E6" s="729"/>
    </row>
    <row r="7" spans="1:7" s="191" customFormat="1" x14ac:dyDescent="0.25">
      <c r="A7" s="1570" t="s">
        <v>247</v>
      </c>
      <c r="B7" s="1571"/>
      <c r="C7" s="1574" t="s">
        <v>808</v>
      </c>
      <c r="D7" s="1574" t="s">
        <v>399</v>
      </c>
      <c r="E7" s="1578" t="s">
        <v>809</v>
      </c>
    </row>
    <row r="8" spans="1:7" s="191" customFormat="1" ht="17.25" thickBot="1" x14ac:dyDescent="0.3">
      <c r="A8" s="1572"/>
      <c r="B8" s="1573"/>
      <c r="C8" s="1575"/>
      <c r="D8" s="1575"/>
      <c r="E8" s="1579"/>
    </row>
    <row r="9" spans="1:7" s="191" customFormat="1" ht="20.25" customHeight="1" x14ac:dyDescent="0.25">
      <c r="A9" s="365" t="s">
        <v>810</v>
      </c>
      <c r="B9" s="314"/>
      <c r="C9" s="324">
        <f>C10+C11</f>
        <v>32253060.079999998</v>
      </c>
      <c r="D9" s="324">
        <f>D10+D11</f>
        <v>36626099.670000002</v>
      </c>
      <c r="E9" s="371">
        <f>E10+E11</f>
        <v>36626099.670000002</v>
      </c>
      <c r="F9" s="397" t="str">
        <f>IF((C9-'CPCA-II-01'!C45)&gt;0.9,"ERROR!!!!! EL MONTO NO COINCIDE CON LO REPORTADO EN EL FORMATO ETCA-II-01 EN EL TOTAL DEVENGADO DEL ANALÍTICO DE INGRESOS","")</f>
        <v/>
      </c>
    </row>
    <row r="10" spans="1:7" s="191" customFormat="1" ht="20.25" customHeight="1" x14ac:dyDescent="0.25">
      <c r="A10" s="313"/>
      <c r="B10" s="367" t="s">
        <v>811</v>
      </c>
      <c r="C10" s="315"/>
      <c r="D10" s="315"/>
      <c r="E10" s="366"/>
    </row>
    <row r="11" spans="1:7" s="191" customFormat="1" ht="20.25" customHeight="1" x14ac:dyDescent="0.25">
      <c r="A11" s="313"/>
      <c r="B11" s="367" t="s">
        <v>812</v>
      </c>
      <c r="C11" s="315">
        <f>'CPCA-II-01'!C20</f>
        <v>32253060.079999998</v>
      </c>
      <c r="D11" s="315">
        <f>'CPCA-II-01'!F20</f>
        <v>36626099.670000002</v>
      </c>
      <c r="E11" s="315">
        <f>'CPCA-II-01'!G20</f>
        <v>36626099.670000002</v>
      </c>
    </row>
    <row r="12" spans="1:7" s="191" customFormat="1" ht="20.25" customHeight="1" x14ac:dyDescent="0.25">
      <c r="A12" s="365" t="s">
        <v>813</v>
      </c>
      <c r="B12" s="367"/>
      <c r="C12" s="324">
        <f>C13+C14</f>
        <v>32253060.079999998</v>
      </c>
      <c r="D12" s="324">
        <f>D13+D14</f>
        <v>34881677.560000002</v>
      </c>
      <c r="E12" s="371">
        <f>E13+E14</f>
        <v>33580086.640000001</v>
      </c>
      <c r="F12" s="397" t="str">
        <f>IF((C12-'CPCA II-04'!B81)&gt;0.9,"ERROR!!!!! EL MONTO NO COINCIDE CON LO REPORTADO EN EL FORMATO ETCA-II-04 EN EL TOTAL DEVENGADO DEL ANALÍTICO DE INGRESOS","")</f>
        <v/>
      </c>
    </row>
    <row r="13" spans="1:7" s="191" customFormat="1" ht="20.25" customHeight="1" x14ac:dyDescent="0.25">
      <c r="A13" s="313"/>
      <c r="B13" s="367" t="s">
        <v>814</v>
      </c>
      <c r="C13" s="315"/>
      <c r="D13" s="315"/>
      <c r="E13" s="366"/>
    </row>
    <row r="14" spans="1:7" s="191" customFormat="1" ht="20.25" customHeight="1" x14ac:dyDescent="0.25">
      <c r="A14" s="313"/>
      <c r="B14" s="367" t="s">
        <v>815</v>
      </c>
      <c r="C14" s="315">
        <f>'CPCA II-04'!B81</f>
        <v>32253060.079999998</v>
      </c>
      <c r="D14" s="315">
        <f>'CPCA II-04'!E81</f>
        <v>34881677.560000002</v>
      </c>
      <c r="E14" s="315">
        <f>'CPCA II-04'!F81</f>
        <v>33580086.640000001</v>
      </c>
    </row>
    <row r="15" spans="1:7" s="191" customFormat="1" ht="20.25" customHeight="1" x14ac:dyDescent="0.25">
      <c r="A15" s="365" t="s">
        <v>816</v>
      </c>
      <c r="B15" s="367"/>
      <c r="C15" s="324">
        <f>C9-C12</f>
        <v>0</v>
      </c>
      <c r="D15" s="324">
        <f>D9-D12</f>
        <v>1744422.1099999994</v>
      </c>
      <c r="E15" s="371">
        <f>E9-E12</f>
        <v>3046013.0300000012</v>
      </c>
    </row>
    <row r="16" spans="1:7" s="191" customFormat="1" ht="20.25" customHeight="1" thickBot="1" x14ac:dyDescent="0.3">
      <c r="A16" s="313"/>
      <c r="B16" s="314"/>
      <c r="C16" s="315"/>
      <c r="D16" s="315"/>
      <c r="E16" s="317"/>
    </row>
    <row r="17" spans="1:6" s="191" customFormat="1" x14ac:dyDescent="0.25">
      <c r="A17" s="1570" t="s">
        <v>247</v>
      </c>
      <c r="B17" s="1571"/>
      <c r="C17" s="1574" t="s">
        <v>808</v>
      </c>
      <c r="D17" s="1574" t="s">
        <v>399</v>
      </c>
      <c r="E17" s="1576" t="s">
        <v>809</v>
      </c>
    </row>
    <row r="18" spans="1:6" s="191" customFormat="1" ht="12" customHeight="1" thickBot="1" x14ac:dyDescent="0.3">
      <c r="A18" s="1572"/>
      <c r="B18" s="1573"/>
      <c r="C18" s="1575"/>
      <c r="D18" s="1575"/>
      <c r="E18" s="1577"/>
    </row>
    <row r="19" spans="1:6" s="191" customFormat="1" ht="20.25" customHeight="1" x14ac:dyDescent="0.25">
      <c r="A19" s="365" t="s">
        <v>817</v>
      </c>
      <c r="B19" s="314"/>
      <c r="C19" s="324">
        <f>C15</f>
        <v>0</v>
      </c>
      <c r="D19" s="324">
        <f>D15</f>
        <v>1744422.1099999994</v>
      </c>
      <c r="E19" s="560">
        <f>E15</f>
        <v>3046013.0300000012</v>
      </c>
    </row>
    <row r="20" spans="1:6" s="191" customFormat="1" ht="20.25" customHeight="1" x14ac:dyDescent="0.25">
      <c r="A20" s="365" t="s">
        <v>818</v>
      </c>
      <c r="B20" s="314"/>
      <c r="C20" s="315"/>
      <c r="D20" s="315"/>
      <c r="E20" s="366"/>
      <c r="F20" s="397" t="str">
        <f>IF((D20-'CPCA-I-03'!C46)&gt;0.9,"ERROR!!!!! EL MONTO NO COINCIDE CON LO REPORTADO EN EL FORMATO ETCA-I-03 POR CONCEPTO DE INTERESES, COMISIONES Y GASTOS DE LA DEUDA","")</f>
        <v/>
      </c>
    </row>
    <row r="21" spans="1:6" s="191" customFormat="1" ht="20.25" customHeight="1" x14ac:dyDescent="0.25">
      <c r="A21" s="365" t="s">
        <v>819</v>
      </c>
      <c r="B21" s="314"/>
      <c r="C21" s="324">
        <f>C19-C20</f>
        <v>0</v>
      </c>
      <c r="D21" s="324">
        <f>D19-D20</f>
        <v>1744422.1099999994</v>
      </c>
      <c r="E21" s="371">
        <f>E19-E20</f>
        <v>3046013.0300000012</v>
      </c>
    </row>
    <row r="22" spans="1:6" s="191" customFormat="1" ht="20.25" customHeight="1" thickBot="1" x14ac:dyDescent="0.3">
      <c r="A22" s="313"/>
      <c r="B22" s="314"/>
      <c r="C22" s="330"/>
      <c r="D22" s="330"/>
      <c r="E22" s="760"/>
    </row>
    <row r="23" spans="1:6" s="191" customFormat="1" ht="28.5" customHeight="1" x14ac:dyDescent="0.25">
      <c r="A23" s="1570" t="s">
        <v>247</v>
      </c>
      <c r="B23" s="1571"/>
      <c r="C23" s="1574" t="s">
        <v>808</v>
      </c>
      <c r="D23" s="368" t="s">
        <v>399</v>
      </c>
      <c r="E23" s="1576" t="s">
        <v>809</v>
      </c>
    </row>
    <row r="24" spans="1:6" s="191" customFormat="1" ht="0.75" customHeight="1" thickBot="1" x14ac:dyDescent="0.3">
      <c r="A24" s="1572"/>
      <c r="B24" s="1573"/>
      <c r="C24" s="1575"/>
      <c r="D24" s="369"/>
      <c r="E24" s="1577"/>
    </row>
    <row r="25" spans="1:6" s="191" customFormat="1" ht="20.25" customHeight="1" x14ac:dyDescent="0.25">
      <c r="A25" s="365" t="s">
        <v>820</v>
      </c>
      <c r="B25" s="314"/>
      <c r="C25" s="315"/>
      <c r="D25" s="315"/>
      <c r="E25" s="317"/>
    </row>
    <row r="26" spans="1:6" s="191" customFormat="1" ht="20.25" customHeight="1" x14ac:dyDescent="0.25">
      <c r="A26" s="365" t="s">
        <v>821</v>
      </c>
      <c r="B26" s="314"/>
      <c r="C26" s="315"/>
      <c r="D26" s="315"/>
      <c r="E26" s="317"/>
    </row>
    <row r="27" spans="1:6" s="191" customFormat="1" ht="20.25" customHeight="1" x14ac:dyDescent="0.25">
      <c r="A27" s="365" t="s">
        <v>822</v>
      </c>
      <c r="B27" s="314"/>
      <c r="C27" s="324">
        <f>C25-C26</f>
        <v>0</v>
      </c>
      <c r="D27" s="324">
        <f>D25-D26</f>
        <v>0</v>
      </c>
      <c r="E27" s="371">
        <f>E25-E26</f>
        <v>0</v>
      </c>
    </row>
    <row r="28" spans="1:6" s="191" customFormat="1" ht="20.25" customHeight="1" thickBot="1" x14ac:dyDescent="0.3">
      <c r="A28" s="757"/>
      <c r="B28" s="758"/>
      <c r="C28" s="759"/>
      <c r="D28" s="759"/>
      <c r="E28" s="370"/>
    </row>
    <row r="29" spans="1:6" s="191" customFormat="1" ht="18" customHeight="1" x14ac:dyDescent="0.25">
      <c r="A29" s="730" t="s">
        <v>81</v>
      </c>
      <c r="B29" s="731"/>
      <c r="C29" s="731"/>
      <c r="D29" s="731"/>
      <c r="E29" s="731"/>
    </row>
    <row r="30" spans="1:6" s="191" customFormat="1" ht="18" customHeight="1" x14ac:dyDescent="0.25">
      <c r="A30" s="475"/>
      <c r="B30" s="475"/>
      <c r="C30" s="475"/>
      <c r="D30" s="475"/>
      <c r="E30" s="475"/>
    </row>
    <row r="31" spans="1:6" s="191" customFormat="1" ht="18" customHeight="1" x14ac:dyDescent="0.25">
      <c r="A31" s="475"/>
      <c r="B31" s="475"/>
      <c r="C31" s="475"/>
      <c r="D31" s="475"/>
      <c r="E31" s="475"/>
    </row>
    <row r="32" spans="1:6" s="191" customFormat="1" ht="18" customHeight="1" x14ac:dyDescent="0.25">
      <c r="A32" s="475"/>
      <c r="B32" s="475"/>
      <c r="C32" s="475"/>
      <c r="D32" s="475"/>
      <c r="E32" s="475"/>
    </row>
    <row r="33" spans="1:10" s="191" customFormat="1" ht="18" customHeight="1" x14ac:dyDescent="0.25">
      <c r="A33" s="475"/>
      <c r="B33" s="475"/>
      <c r="C33" s="475"/>
      <c r="D33" s="475"/>
      <c r="E33" s="475"/>
    </row>
    <row r="34" spans="1:10" s="191" customFormat="1" ht="18" customHeight="1" x14ac:dyDescent="0.25">
      <c r="A34" s="475"/>
      <c r="B34" s="475"/>
      <c r="C34" s="475"/>
      <c r="D34" s="475"/>
      <c r="E34" s="475"/>
    </row>
    <row r="35" spans="1:10" s="191" customFormat="1" ht="18" customHeight="1" x14ac:dyDescent="0.25">
      <c r="A35" s="475"/>
      <c r="B35" s="475"/>
      <c r="C35" s="475"/>
      <c r="D35" s="475"/>
      <c r="E35" s="475"/>
    </row>
    <row r="36" spans="1:10" ht="18" customHeight="1" x14ac:dyDescent="0.3">
      <c r="A36" s="730" t="s">
        <v>245</v>
      </c>
      <c r="B36" s="737" t="s">
        <v>823</v>
      </c>
      <c r="C36" s="731"/>
      <c r="D36" s="731"/>
      <c r="E36" s="731"/>
      <c r="J36" s="323"/>
    </row>
    <row r="37" spans="1:10" ht="49.5" customHeight="1" x14ac:dyDescent="0.3">
      <c r="A37" s="1569" t="s">
        <v>824</v>
      </c>
      <c r="B37" s="1569"/>
      <c r="C37" s="1569"/>
      <c r="D37" s="1569"/>
      <c r="E37" s="1569"/>
    </row>
    <row r="38" spans="1:10" x14ac:dyDescent="0.3">
      <c r="A38" s="727"/>
      <c r="B38" s="731"/>
      <c r="C38" s="731"/>
      <c r="D38" s="731"/>
      <c r="E38" s="731"/>
    </row>
    <row r="39" spans="1:10" ht="75" customHeight="1" x14ac:dyDescent="0.3">
      <c r="A39" s="1569" t="s">
        <v>825</v>
      </c>
      <c r="B39" s="1569"/>
      <c r="C39" s="1569"/>
      <c r="D39" s="1569"/>
      <c r="E39" s="1569"/>
    </row>
    <row r="40" spans="1:10" ht="5.25" customHeight="1" x14ac:dyDescent="0.3">
      <c r="A40" s="727"/>
      <c r="B40" s="731"/>
      <c r="C40" s="731"/>
      <c r="D40" s="731"/>
      <c r="E40" s="731"/>
    </row>
    <row r="41" spans="1:10" ht="13.5" customHeight="1" x14ac:dyDescent="0.3">
      <c r="A41" s="1569" t="s">
        <v>826</v>
      </c>
      <c r="B41" s="1569"/>
      <c r="C41" s="1569"/>
      <c r="D41" s="1569"/>
      <c r="E41" s="1569"/>
    </row>
  </sheetData>
  <sheetProtection insertHyperlinks="0"/>
  <mergeCells count="19">
    <mergeCell ref="A7:B8"/>
    <mergeCell ref="C7:C8"/>
    <mergeCell ref="E7:E8"/>
    <mergeCell ref="C17:C18"/>
    <mergeCell ref="E17:E18"/>
    <mergeCell ref="A17:B18"/>
    <mergeCell ref="D7:D8"/>
    <mergeCell ref="D17:D18"/>
    <mergeCell ref="A37:E37"/>
    <mergeCell ref="A39:E39"/>
    <mergeCell ref="A41:E41"/>
    <mergeCell ref="A23:B24"/>
    <mergeCell ref="C23:C24"/>
    <mergeCell ref="E23:E24"/>
    <mergeCell ref="B1:E1"/>
    <mergeCell ref="B2:E2"/>
    <mergeCell ref="B3:E3"/>
    <mergeCell ref="B5:C5"/>
    <mergeCell ref="A4:E4"/>
  </mergeCells>
  <printOptions horizontalCentered="1"/>
  <pageMargins left="0.39370078740157483" right="0.39370078740157483" top="0.74803149606299213" bottom="0.74803149606299213" header="0.31496062992125984" footer="0.31496062992125984"/>
  <pageSetup scale="93"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view="pageBreakPreview" zoomScaleNormal="100" zoomScaleSheetLayoutView="100" workbookViewId="0">
      <selection activeCell="D15" sqref="D15"/>
    </sheetView>
  </sheetViews>
  <sheetFormatPr baseColWidth="10" defaultColWidth="11.42578125" defaultRowHeight="15" x14ac:dyDescent="0.25"/>
  <cols>
    <col min="1" max="1" width="1.28515625" customWidth="1"/>
    <col min="2" max="2" width="61.7109375" customWidth="1"/>
    <col min="3" max="3" width="14.28515625" customWidth="1"/>
    <col min="4" max="4" width="13.7109375" customWidth="1"/>
    <col min="5" max="5" width="13.42578125" customWidth="1"/>
    <col min="6" max="6" width="2.42578125" customWidth="1"/>
    <col min="7" max="7" width="77.85546875" customWidth="1"/>
  </cols>
  <sheetData>
    <row r="1" spans="1:6" ht="15.75" x14ac:dyDescent="0.25">
      <c r="A1" s="1499" t="s">
        <v>1028</v>
      </c>
      <c r="B1" s="1499"/>
      <c r="C1" s="1499"/>
      <c r="D1" s="1499"/>
      <c r="E1" s="1499"/>
    </row>
    <row r="2" spans="1:6" ht="15.75" customHeight="1" x14ac:dyDescent="0.25">
      <c r="A2" s="1208" t="s">
        <v>827</v>
      </c>
      <c r="B2" s="1208"/>
      <c r="C2" s="1208"/>
      <c r="D2" s="1208"/>
      <c r="E2" s="1208"/>
    </row>
    <row r="3" spans="1:6" ht="16.5" customHeight="1" x14ac:dyDescent="0.25">
      <c r="A3" s="1208"/>
      <c r="B3" s="1208"/>
      <c r="C3" s="1208"/>
      <c r="D3" s="1208"/>
      <c r="E3" s="1208"/>
    </row>
    <row r="4" spans="1:6" ht="15.75" customHeight="1" x14ac:dyDescent="0.25">
      <c r="A4" s="1254" t="str">
        <f>'CPCA-I-03'!A4:D4</f>
        <v>Del 01 de ENERO al 31 de DICIEMBRE de 2024</v>
      </c>
      <c r="B4" s="1254"/>
      <c r="C4" s="1254"/>
      <c r="D4" s="1254"/>
      <c r="E4" s="1254"/>
    </row>
    <row r="5" spans="1:6" ht="15.75" customHeight="1" x14ac:dyDescent="0.25">
      <c r="A5" s="1598" t="s">
        <v>84</v>
      </c>
      <c r="B5" s="1598"/>
      <c r="C5" s="1598"/>
      <c r="D5" s="1598"/>
      <c r="E5" s="1598"/>
    </row>
    <row r="6" spans="1:6" ht="15.75" customHeight="1" thickBot="1" x14ac:dyDescent="0.3">
      <c r="A6" s="768"/>
      <c r="B6" s="768"/>
      <c r="C6" s="768"/>
      <c r="D6" s="768"/>
      <c r="E6" s="768"/>
    </row>
    <row r="7" spans="1:6" x14ac:dyDescent="0.25">
      <c r="A7" s="1587" t="s">
        <v>85</v>
      </c>
      <c r="B7" s="1588"/>
      <c r="C7" s="754" t="s">
        <v>828</v>
      </c>
      <c r="D7" s="1497" t="s">
        <v>399</v>
      </c>
      <c r="E7" s="646" t="s">
        <v>829</v>
      </c>
    </row>
    <row r="8" spans="1:6" ht="15.75" thickBot="1" x14ac:dyDescent="0.3">
      <c r="A8" s="1589"/>
      <c r="B8" s="1590"/>
      <c r="C8" s="755" t="s">
        <v>530</v>
      </c>
      <c r="D8" s="1498"/>
      <c r="E8" s="593" t="s">
        <v>533</v>
      </c>
    </row>
    <row r="9" spans="1:6" ht="7.5" customHeight="1" x14ac:dyDescent="0.25">
      <c r="A9" s="769"/>
      <c r="B9" s="594"/>
      <c r="C9" s="594"/>
      <c r="D9" s="594"/>
      <c r="E9" s="594"/>
    </row>
    <row r="10" spans="1:6" x14ac:dyDescent="0.25">
      <c r="A10" s="769"/>
      <c r="B10" s="595" t="s">
        <v>830</v>
      </c>
      <c r="C10" s="718">
        <f>SUM(C11:C13)</f>
        <v>32253060.079999998</v>
      </c>
      <c r="D10" s="718">
        <f>SUM(D11:D13)</f>
        <v>36626099.670000002</v>
      </c>
      <c r="E10" s="718">
        <f>SUM(E11:E13)</f>
        <v>36626099.670000002</v>
      </c>
      <c r="F10" s="482" t="str">
        <f>IF(C10&lt;&gt;'CPCA-IV-01'!C9,"ERROR!!!!! EL MONTO NO COINCIDE CON LO REPORTADO EN EL FORMATO ETCA-IV-01 ","")</f>
        <v/>
      </c>
    </row>
    <row r="11" spans="1:6" ht="14.25" customHeight="1" x14ac:dyDescent="0.25">
      <c r="A11" s="769"/>
      <c r="B11" s="594" t="s">
        <v>831</v>
      </c>
      <c r="C11" s="706">
        <f>'CPCA-IV-01'!C11</f>
        <v>32253060.079999998</v>
      </c>
      <c r="D11" s="706">
        <f>'CPCA-IV-01'!D11</f>
        <v>36626099.670000002</v>
      </c>
      <c r="E11" s="706">
        <f>'CPCA-IV-01'!E11</f>
        <v>36626099.670000002</v>
      </c>
      <c r="F11" s="482" t="str">
        <f>IF(D10&lt;&gt;'CPCA-IV-01'!D9,"ERROR!!!!! EL MONTO NO COINCIDE CON LO REPORTADO EN EL FORMATO ETCA-IV-01 ","")</f>
        <v/>
      </c>
    </row>
    <row r="12" spans="1:6" ht="14.25" customHeight="1" x14ac:dyDescent="0.25">
      <c r="A12" s="769"/>
      <c r="B12" s="594" t="s">
        <v>832</v>
      </c>
      <c r="C12" s="706">
        <v>0</v>
      </c>
      <c r="D12" s="706">
        <v>0</v>
      </c>
      <c r="E12" s="706">
        <v>0</v>
      </c>
      <c r="F12" s="482" t="str">
        <f>IF(E10&lt;&gt;'CPCA-IV-01'!E9,"ERROR!!!!! EL MONTO NO COINCIDE CON LO REPORTADO EN EL FORMATO ETCA-IV-01 ","")</f>
        <v/>
      </c>
    </row>
    <row r="13" spans="1:6" ht="14.25" customHeight="1" x14ac:dyDescent="0.25">
      <c r="A13" s="769"/>
      <c r="B13" s="594" t="s">
        <v>833</v>
      </c>
      <c r="C13" s="706">
        <v>0</v>
      </c>
      <c r="D13" s="706">
        <v>0</v>
      </c>
      <c r="E13" s="706">
        <v>0</v>
      </c>
    </row>
    <row r="14" spans="1:6" ht="3.75" customHeight="1" x14ac:dyDescent="0.25">
      <c r="A14" s="767"/>
      <c r="B14" s="595"/>
      <c r="C14" s="713"/>
      <c r="D14" s="713"/>
      <c r="E14" s="713"/>
    </row>
    <row r="15" spans="1:6" x14ac:dyDescent="0.25">
      <c r="A15" s="767"/>
      <c r="B15" s="595" t="s">
        <v>834</v>
      </c>
      <c r="C15" s="718">
        <f>SUM(C16:C17)</f>
        <v>32253060.079999998</v>
      </c>
      <c r="D15" s="718">
        <f>SUM(D16:D17)</f>
        <v>34881677.560000002</v>
      </c>
      <c r="E15" s="718">
        <f>SUM(E16:E17)</f>
        <v>33580086.640000001</v>
      </c>
      <c r="F15" s="482" t="str">
        <f>IF(C15&lt;&gt;'CPCA-IV-01'!C12,"ERROR!!!!! EL MONTO NO COINCIDE CON LO REPORTADO EN EL FORMATO ETCA-IV-01 ","")</f>
        <v/>
      </c>
    </row>
    <row r="16" spans="1:6" ht="21" customHeight="1" x14ac:dyDescent="0.25">
      <c r="A16" s="769"/>
      <c r="B16" s="594" t="s">
        <v>835</v>
      </c>
      <c r="C16" s="706">
        <f>'CPCA-IV-01'!C14</f>
        <v>32253060.079999998</v>
      </c>
      <c r="D16" s="706">
        <f>'CPCA-IV-01'!D14</f>
        <v>34881677.560000002</v>
      </c>
      <c r="E16" s="706">
        <f>'CPCA-IV-01'!E14</f>
        <v>33580086.640000001</v>
      </c>
      <c r="F16" s="482" t="str">
        <f>IF(D15&lt;&gt;'CPCA-IV-01'!D12,"ERROR!!!!! EL MONTO NO COINCIDE CON LO REPORTADO EN EL FORMATO ETCA-IV-01 ","")</f>
        <v/>
      </c>
    </row>
    <row r="17" spans="1:6" ht="21" customHeight="1" x14ac:dyDescent="0.25">
      <c r="A17" s="769"/>
      <c r="B17" s="594" t="s">
        <v>836</v>
      </c>
      <c r="C17" s="706">
        <v>0</v>
      </c>
      <c r="D17" s="706">
        <v>0</v>
      </c>
      <c r="E17" s="706">
        <v>0</v>
      </c>
      <c r="F17" s="482" t="str">
        <f>IF(E15&lt;&gt;'CPCA-IV-01'!E12,"ERROR!!!!! EL MONTO NO COINCIDE CON LO REPORTADO EN EL FORMATO ETCA-IV-01 ","")</f>
        <v/>
      </c>
    </row>
    <row r="18" spans="1:6" ht="8.25" customHeight="1" x14ac:dyDescent="0.25">
      <c r="A18" s="769"/>
      <c r="B18" s="594"/>
      <c r="C18" s="713"/>
      <c r="D18" s="713"/>
      <c r="E18" s="713"/>
    </row>
    <row r="19" spans="1:6" x14ac:dyDescent="0.25">
      <c r="A19" s="769"/>
      <c r="B19" s="595" t="s">
        <v>837</v>
      </c>
      <c r="C19" s="718">
        <f>SUM(C20:C21)</f>
        <v>0</v>
      </c>
      <c r="D19" s="718">
        <f>SUM(D20:D21)</f>
        <v>0</v>
      </c>
      <c r="E19" s="718">
        <f>SUM(E20:E21)</f>
        <v>0</v>
      </c>
      <c r="F19" s="482" t="s">
        <v>245</v>
      </c>
    </row>
    <row r="20" spans="1:6" ht="19.5" customHeight="1" x14ac:dyDescent="0.25">
      <c r="A20" s="769"/>
      <c r="B20" s="594" t="s">
        <v>838</v>
      </c>
      <c r="C20" s="720"/>
      <c r="D20" s="706">
        <v>0</v>
      </c>
      <c r="E20" s="706">
        <v>0</v>
      </c>
      <c r="F20" s="482" t="s">
        <v>245</v>
      </c>
    </row>
    <row r="21" spans="1:6" ht="19.5" customHeight="1" x14ac:dyDescent="0.25">
      <c r="A21" s="769"/>
      <c r="B21" s="594" t="s">
        <v>839</v>
      </c>
      <c r="C21" s="720"/>
      <c r="D21" s="706">
        <v>0</v>
      </c>
      <c r="E21" s="706">
        <v>0</v>
      </c>
      <c r="F21" s="482" t="s">
        <v>245</v>
      </c>
    </row>
    <row r="22" spans="1:6" ht="6.75" customHeight="1" x14ac:dyDescent="0.25">
      <c r="A22" s="769"/>
      <c r="B22" s="594"/>
      <c r="C22" s="713"/>
      <c r="D22" s="713"/>
      <c r="E22" s="713"/>
      <c r="F22" s="482" t="s">
        <v>245</v>
      </c>
    </row>
    <row r="23" spans="1:6" x14ac:dyDescent="0.25">
      <c r="A23" s="1599"/>
      <c r="B23" s="595" t="s">
        <v>840</v>
      </c>
      <c r="C23" s="718">
        <f>+C10-C15+C19</f>
        <v>0</v>
      </c>
      <c r="D23" s="718">
        <f>+D10-D15+D19</f>
        <v>1744422.1099999994</v>
      </c>
      <c r="E23" s="718">
        <f>+E10-E15+E19</f>
        <v>3046013.0300000012</v>
      </c>
    </row>
    <row r="24" spans="1:6" ht="6.75" customHeight="1" x14ac:dyDescent="0.25">
      <c r="A24" s="1599"/>
      <c r="B24" s="595"/>
      <c r="C24" s="713" t="s">
        <v>245</v>
      </c>
      <c r="D24" s="713" t="s">
        <v>245</v>
      </c>
      <c r="E24" s="713" t="s">
        <v>245</v>
      </c>
    </row>
    <row r="25" spans="1:6" ht="16.5" customHeight="1" x14ac:dyDescent="0.25">
      <c r="A25" s="1599"/>
      <c r="B25" s="595" t="s">
        <v>841</v>
      </c>
      <c r="C25" s="718">
        <f>+C23-C13</f>
        <v>0</v>
      </c>
      <c r="D25" s="718">
        <f>+D23-D13</f>
        <v>1744422.1099999994</v>
      </c>
      <c r="E25" s="718">
        <f>+E23-E13</f>
        <v>3046013.0300000012</v>
      </c>
    </row>
    <row r="26" spans="1:6" ht="6" customHeight="1" x14ac:dyDescent="0.25">
      <c r="A26" s="1599"/>
      <c r="B26" s="595"/>
      <c r="C26" s="713" t="s">
        <v>245</v>
      </c>
      <c r="D26" s="713" t="s">
        <v>245</v>
      </c>
      <c r="E26" s="713" t="s">
        <v>245</v>
      </c>
    </row>
    <row r="27" spans="1:6" ht="30" customHeight="1" x14ac:dyDescent="0.25">
      <c r="A27" s="769"/>
      <c r="B27" s="595" t="s">
        <v>842</v>
      </c>
      <c r="C27" s="718">
        <f>+C25-C19</f>
        <v>0</v>
      </c>
      <c r="D27" s="718">
        <f>+D25-D19</f>
        <v>1744422.1099999994</v>
      </c>
      <c r="E27" s="718">
        <f>+E25-E19</f>
        <v>3046013.0300000012</v>
      </c>
    </row>
    <row r="28" spans="1:6" ht="6" customHeight="1" thickBot="1" x14ac:dyDescent="0.3">
      <c r="A28" s="597"/>
      <c r="B28" s="598"/>
      <c r="C28" s="599"/>
      <c r="D28" s="599"/>
      <c r="E28" s="599"/>
    </row>
    <row r="29" spans="1:6" ht="12" customHeight="1" thickBot="1" x14ac:dyDescent="0.3">
      <c r="A29" s="1600"/>
      <c r="B29" s="1600"/>
      <c r="C29" s="1600"/>
      <c r="D29" s="1600"/>
      <c r="E29" s="1600"/>
    </row>
    <row r="30" spans="1:6" ht="15.75" thickBot="1" x14ac:dyDescent="0.3">
      <c r="A30" s="1601" t="s">
        <v>247</v>
      </c>
      <c r="B30" s="1602"/>
      <c r="C30" s="753" t="s">
        <v>843</v>
      </c>
      <c r="D30" s="753" t="s">
        <v>399</v>
      </c>
      <c r="E30" s="753" t="s">
        <v>630</v>
      </c>
    </row>
    <row r="31" spans="1:6" ht="6" customHeight="1" x14ac:dyDescent="0.25">
      <c r="A31" s="769"/>
      <c r="B31" s="594"/>
      <c r="C31" s="594"/>
      <c r="D31" s="594"/>
      <c r="E31" s="594"/>
    </row>
    <row r="32" spans="1:6" ht="18" customHeight="1" x14ac:dyDescent="0.25">
      <c r="A32" s="1597"/>
      <c r="B32" s="595" t="s">
        <v>844</v>
      </c>
      <c r="C32" s="718">
        <f>SUM(C33:C34)</f>
        <v>0</v>
      </c>
      <c r="D32" s="718">
        <f>SUM(D33:D34)</f>
        <v>0</v>
      </c>
      <c r="E32" s="718">
        <f>SUM(E33:E34)</f>
        <v>0</v>
      </c>
      <c r="F32" s="482" t="str">
        <f>IF(C32&lt;&gt;'CPCA-IV-01'!C20,"ERROR!!!!! EL MONTO NO COINCIDE CON LO REPORTADO EN EL FORMATO ETCA-IV-01 ","")</f>
        <v/>
      </c>
    </row>
    <row r="33" spans="1:6" ht="26.25" customHeight="1" x14ac:dyDescent="0.25">
      <c r="A33" s="1597"/>
      <c r="B33" s="596" t="s">
        <v>845</v>
      </c>
      <c r="C33" s="706">
        <v>0</v>
      </c>
      <c r="D33" s="706">
        <v>0</v>
      </c>
      <c r="E33" s="706">
        <v>0</v>
      </c>
      <c r="F33" s="482" t="str">
        <f>IF(D32&lt;&gt;'CPCA-IV-01'!D20,"ERROR!!!!! EL MONTO NO COINCIDE CON LO REPORTADO EN EL FORMATO ETCA-IV-01 ","")</f>
        <v/>
      </c>
    </row>
    <row r="34" spans="1:6" ht="26.25" customHeight="1" x14ac:dyDescent="0.25">
      <c r="A34" s="1597"/>
      <c r="B34" s="596" t="s">
        <v>846</v>
      </c>
      <c r="C34" s="713">
        <v>0</v>
      </c>
      <c r="D34" s="713">
        <v>0</v>
      </c>
      <c r="E34" s="713">
        <v>0</v>
      </c>
      <c r="F34" s="482" t="str">
        <f>IF(E32&lt;&gt;'CPCA-IV-01'!E20,"ERROR!!!!! EL MONTO NO COINCIDE CON LO REPORTADO EN EL FORMATO ETCA-IV-01 ","")</f>
        <v/>
      </c>
    </row>
    <row r="35" spans="1:6" ht="4.5" customHeight="1" x14ac:dyDescent="0.25">
      <c r="A35" s="767"/>
      <c r="B35" s="595"/>
      <c r="C35" s="706"/>
      <c r="D35" s="706"/>
      <c r="E35" s="706"/>
    </row>
    <row r="36" spans="1:6" x14ac:dyDescent="0.25">
      <c r="A36" s="767"/>
      <c r="B36" s="595" t="s">
        <v>847</v>
      </c>
      <c r="C36" s="718">
        <f>+C27+C32</f>
        <v>0</v>
      </c>
      <c r="D36" s="718">
        <f>+D27+D32</f>
        <v>1744422.1099999994</v>
      </c>
      <c r="E36" s="718">
        <f>+E27+E32</f>
        <v>3046013.0300000012</v>
      </c>
    </row>
    <row r="37" spans="1:6" ht="6.75" customHeight="1" thickBot="1" x14ac:dyDescent="0.3">
      <c r="A37" s="592"/>
      <c r="B37" s="591"/>
      <c r="C37" s="591"/>
      <c r="D37" s="591"/>
      <c r="E37" s="591"/>
    </row>
    <row r="38" spans="1:6" ht="9" customHeight="1" thickBot="1" x14ac:dyDescent="0.3"/>
    <row r="39" spans="1:6" x14ac:dyDescent="0.25">
      <c r="A39" s="1587" t="s">
        <v>247</v>
      </c>
      <c r="B39" s="1588"/>
      <c r="C39" s="1591" t="s">
        <v>848</v>
      </c>
      <c r="D39" s="1492" t="s">
        <v>399</v>
      </c>
      <c r="E39" s="602" t="s">
        <v>829</v>
      </c>
    </row>
    <row r="40" spans="1:6" ht="15.75" thickBot="1" x14ac:dyDescent="0.3">
      <c r="A40" s="1589"/>
      <c r="B40" s="1590"/>
      <c r="C40" s="1592"/>
      <c r="D40" s="1493"/>
      <c r="E40" s="603" t="s">
        <v>630</v>
      </c>
    </row>
    <row r="41" spans="1:6" ht="5.25" customHeight="1" x14ac:dyDescent="0.25">
      <c r="A41" s="764"/>
      <c r="B41" s="604"/>
      <c r="C41" s="604"/>
      <c r="D41" s="604"/>
      <c r="E41" s="604"/>
    </row>
    <row r="42" spans="1:6" x14ac:dyDescent="0.25">
      <c r="A42" s="763"/>
      <c r="B42" s="766" t="s">
        <v>849</v>
      </c>
      <c r="C42" s="719">
        <f>SUM(C43:C44)</f>
        <v>0</v>
      </c>
      <c r="D42" s="719">
        <f>SUM(D43:D44)</f>
        <v>0</v>
      </c>
      <c r="E42" s="719">
        <f>SUM(E43:E44)</f>
        <v>0</v>
      </c>
      <c r="F42" s="482" t="str">
        <f>IF(C42&lt;&gt;'CPCA-IV-01'!C25,"ERROR!!!!! EL MONTO NO COINCIDE CON LO REPORTADO EN EL FORMATO ETCA-IV-01 ","")</f>
        <v/>
      </c>
    </row>
    <row r="43" spans="1:6" x14ac:dyDescent="0.25">
      <c r="A43" s="1583"/>
      <c r="B43" s="605" t="s">
        <v>850</v>
      </c>
      <c r="C43" s="706">
        <v>0</v>
      </c>
      <c r="D43" s="706">
        <v>0</v>
      </c>
      <c r="E43" s="706">
        <v>0</v>
      </c>
      <c r="F43" s="482" t="str">
        <f>IF(D42&lt;&gt;'CPCA-IV-01'!D25,"ERROR!!!!! EL MONTO NO COINCIDE CON LO REPORTADO EN EL FORMATO ETCA-IV-01 ","")</f>
        <v/>
      </c>
    </row>
    <row r="44" spans="1:6" x14ac:dyDescent="0.25">
      <c r="A44" s="1583"/>
      <c r="B44" s="605" t="s">
        <v>851</v>
      </c>
      <c r="C44" s="706">
        <v>0</v>
      </c>
      <c r="D44" s="706" t="s">
        <v>245</v>
      </c>
      <c r="E44" s="706">
        <v>0</v>
      </c>
      <c r="F44" s="482" t="str">
        <f>IF(E42&lt;&gt;'CPCA-IV-01'!E25,"ERROR!!!!! EL MONTO NO COINCIDE CON LO REPORTADO EN EL FORMATO ETCA-IV-01 ","")</f>
        <v/>
      </c>
    </row>
    <row r="45" spans="1:6" x14ac:dyDescent="0.25">
      <c r="A45" s="1580"/>
      <c r="B45" s="766" t="s">
        <v>852</v>
      </c>
      <c r="C45" s="719">
        <f>SUM(C46:C47)</f>
        <v>0</v>
      </c>
      <c r="D45" s="719">
        <f>SUM(D46:D47)</f>
        <v>0</v>
      </c>
      <c r="E45" s="719">
        <f>SUM(E46:E47)</f>
        <v>0</v>
      </c>
      <c r="F45" s="482" t="str">
        <f>IF(C45&lt;&gt;'CPCA-IV-01'!C26,"ERROR!!!!! EL MONTO NO COINCIDE CON LO REPORTADO EN EL FORMATO ETCA-IV-01 ","")</f>
        <v/>
      </c>
    </row>
    <row r="46" spans="1:6" x14ac:dyDescent="0.25">
      <c r="A46" s="1580"/>
      <c r="B46" s="605" t="s">
        <v>853</v>
      </c>
      <c r="C46" s="706">
        <v>0</v>
      </c>
      <c r="D46" s="706">
        <v>0</v>
      </c>
      <c r="E46" s="706">
        <v>0</v>
      </c>
      <c r="F46" s="482" t="str">
        <f>IF(D45&lt;&gt;'CPCA-IV-01'!D26,"ERROR!!!!! EL MONTO NO COINCIDE CON LO REPORTADO EN EL FORMATO ETCA-IV-01 ","")</f>
        <v/>
      </c>
    </row>
    <row r="47" spans="1:6" x14ac:dyDescent="0.25">
      <c r="A47" s="1580"/>
      <c r="B47" s="605" t="s">
        <v>854</v>
      </c>
      <c r="C47" s="706">
        <v>0</v>
      </c>
      <c r="D47" s="706">
        <v>0</v>
      </c>
      <c r="E47" s="706">
        <v>0</v>
      </c>
      <c r="F47" s="482" t="str">
        <f>IF(E45&lt;&gt;'CPCA-IV-01'!E26,"ERROR!!!!! EL MONTO NO COINCIDE CON LO REPORTADO EN EL FORMATO ETCA-IV-01 ","")</f>
        <v/>
      </c>
    </row>
    <row r="48" spans="1:6" ht="6.75" customHeight="1" x14ac:dyDescent="0.25">
      <c r="A48" s="763"/>
      <c r="B48" s="766"/>
      <c r="C48" s="621"/>
      <c r="D48" s="621"/>
      <c r="E48" s="621"/>
    </row>
    <row r="49" spans="1:5" x14ac:dyDescent="0.25">
      <c r="A49" s="1580"/>
      <c r="B49" s="1593" t="s">
        <v>855</v>
      </c>
      <c r="C49" s="1595">
        <f>+C42-C45</f>
        <v>0</v>
      </c>
      <c r="D49" s="1595">
        <f>+D42-D45</f>
        <v>0</v>
      </c>
      <c r="E49" s="1595">
        <f>+E42-E45</f>
        <v>0</v>
      </c>
    </row>
    <row r="50" spans="1:5" ht="15.75" thickBot="1" x14ac:dyDescent="0.3">
      <c r="A50" s="1581"/>
      <c r="B50" s="1594"/>
      <c r="C50" s="1596"/>
      <c r="D50" s="1596"/>
      <c r="E50" s="1596"/>
    </row>
    <row r="51" spans="1:5" x14ac:dyDescent="0.25">
      <c r="A51" s="609"/>
      <c r="B51" s="609"/>
      <c r="C51" s="609"/>
      <c r="D51" s="609"/>
      <c r="E51" s="609"/>
    </row>
    <row r="52" spans="1:5" x14ac:dyDescent="0.25">
      <c r="A52" s="609"/>
      <c r="B52" s="609"/>
      <c r="C52" s="609"/>
      <c r="D52" s="609"/>
      <c r="E52" s="609"/>
    </row>
    <row r="53" spans="1:5" x14ac:dyDescent="0.25">
      <c r="A53" s="609"/>
      <c r="B53" s="609"/>
      <c r="C53" s="609"/>
      <c r="D53" s="609"/>
      <c r="E53" s="609"/>
    </row>
    <row r="54" spans="1:5" ht="15.75" thickBot="1" x14ac:dyDescent="0.3">
      <c r="A54" s="609"/>
      <c r="B54" s="609"/>
      <c r="C54" s="609"/>
      <c r="D54" s="609"/>
      <c r="E54" s="609"/>
    </row>
    <row r="55" spans="1:5" x14ac:dyDescent="0.25">
      <c r="A55" s="1587" t="s">
        <v>247</v>
      </c>
      <c r="B55" s="1588"/>
      <c r="C55" s="602" t="s">
        <v>828</v>
      </c>
      <c r="D55" s="1492" t="s">
        <v>399</v>
      </c>
      <c r="E55" s="602" t="s">
        <v>829</v>
      </c>
    </row>
    <row r="56" spans="1:5" ht="15.75" thickBot="1" x14ac:dyDescent="0.3">
      <c r="A56" s="1589"/>
      <c r="B56" s="1590"/>
      <c r="C56" s="603" t="s">
        <v>843</v>
      </c>
      <c r="D56" s="1493"/>
      <c r="E56" s="603" t="s">
        <v>630</v>
      </c>
    </row>
    <row r="57" spans="1:5" ht="6" customHeight="1" x14ac:dyDescent="0.25">
      <c r="A57" s="1584"/>
      <c r="B57" s="1585"/>
      <c r="C57" s="604"/>
      <c r="D57" s="604"/>
      <c r="E57" s="604"/>
    </row>
    <row r="58" spans="1:5" x14ac:dyDescent="0.25">
      <c r="A58" s="1583"/>
      <c r="B58" s="1586" t="s">
        <v>856</v>
      </c>
      <c r="C58" s="1582">
        <f>+C11</f>
        <v>32253060.079999998</v>
      </c>
      <c r="D58" s="1582">
        <f>+D11</f>
        <v>36626099.670000002</v>
      </c>
      <c r="E58" s="1582">
        <f>+E11</f>
        <v>36626099.670000002</v>
      </c>
    </row>
    <row r="59" spans="1:5" x14ac:dyDescent="0.25">
      <c r="A59" s="1583"/>
      <c r="B59" s="1586"/>
      <c r="C59" s="1582"/>
      <c r="D59" s="1582"/>
      <c r="E59" s="1582"/>
    </row>
    <row r="60" spans="1:5" ht="19.5" x14ac:dyDescent="0.25">
      <c r="A60" s="1583"/>
      <c r="B60" s="606" t="s">
        <v>857</v>
      </c>
      <c r="C60" s="714">
        <f>+C61-C62</f>
        <v>0</v>
      </c>
      <c r="D60" s="714">
        <f>+D61-D62</f>
        <v>0</v>
      </c>
      <c r="E60" s="714">
        <f>+E61-E62</f>
        <v>0</v>
      </c>
    </row>
    <row r="61" spans="1:5" x14ac:dyDescent="0.25">
      <c r="A61" s="1583"/>
      <c r="B61" s="605" t="s">
        <v>850</v>
      </c>
      <c r="C61" s="714">
        <f>+C43</f>
        <v>0</v>
      </c>
      <c r="D61" s="714">
        <f>+D43</f>
        <v>0</v>
      </c>
      <c r="E61" s="714">
        <f>+E43</f>
        <v>0</v>
      </c>
    </row>
    <row r="62" spans="1:5" x14ac:dyDescent="0.25">
      <c r="A62" s="1583"/>
      <c r="B62" s="605" t="s">
        <v>853</v>
      </c>
      <c r="C62" s="714">
        <f>+C46</f>
        <v>0</v>
      </c>
      <c r="D62" s="714">
        <f>+D46</f>
        <v>0</v>
      </c>
      <c r="E62" s="714">
        <f>+E46</f>
        <v>0</v>
      </c>
    </row>
    <row r="63" spans="1:5" ht="5.25" customHeight="1" x14ac:dyDescent="0.25">
      <c r="A63" s="1583"/>
      <c r="B63" s="765"/>
      <c r="C63" s="714"/>
      <c r="D63" s="714"/>
      <c r="E63" s="714"/>
    </row>
    <row r="64" spans="1:5" x14ac:dyDescent="0.25">
      <c r="A64" s="764"/>
      <c r="B64" s="765" t="s">
        <v>835</v>
      </c>
      <c r="C64" s="714">
        <f>+C16</f>
        <v>32253060.079999998</v>
      </c>
      <c r="D64" s="714">
        <f>+D16</f>
        <v>34881677.560000002</v>
      </c>
      <c r="E64" s="714">
        <f>+E16</f>
        <v>33580086.640000001</v>
      </c>
    </row>
    <row r="65" spans="1:5" ht="6.75" customHeight="1" x14ac:dyDescent="0.25">
      <c r="A65" s="764"/>
      <c r="B65" s="765"/>
      <c r="C65" s="714"/>
      <c r="D65" s="714"/>
      <c r="E65" s="714"/>
    </row>
    <row r="66" spans="1:5" x14ac:dyDescent="0.25">
      <c r="A66" s="764"/>
      <c r="B66" s="765" t="s">
        <v>838</v>
      </c>
      <c r="C66" s="715"/>
      <c r="D66" s="721">
        <f>+D20</f>
        <v>0</v>
      </c>
      <c r="E66" s="721">
        <f>+E20</f>
        <v>0</v>
      </c>
    </row>
    <row r="67" spans="1:5" x14ac:dyDescent="0.25">
      <c r="A67" s="764"/>
      <c r="B67" s="765"/>
      <c r="C67" s="714"/>
      <c r="D67" s="714"/>
      <c r="E67" s="714"/>
    </row>
    <row r="68" spans="1:5" ht="19.5" x14ac:dyDescent="0.25">
      <c r="A68" s="1580"/>
      <c r="B68" s="595" t="s">
        <v>858</v>
      </c>
      <c r="C68" s="717">
        <f>+C11+C60-C16+C20</f>
        <v>0</v>
      </c>
      <c r="D68" s="717">
        <f>+D11+D60-D16+D20</f>
        <v>1744422.1099999994</v>
      </c>
      <c r="E68" s="717">
        <f>+E11+E60-E16+E20</f>
        <v>3046013.0300000012</v>
      </c>
    </row>
    <row r="69" spans="1:5" x14ac:dyDescent="0.25">
      <c r="A69" s="1580"/>
      <c r="B69" s="607"/>
      <c r="C69" s="714" t="s">
        <v>245</v>
      </c>
      <c r="D69" s="714" t="s">
        <v>245</v>
      </c>
      <c r="E69" s="714" t="s">
        <v>245</v>
      </c>
    </row>
    <row r="70" spans="1:5" ht="19.5" x14ac:dyDescent="0.25">
      <c r="A70" s="1580"/>
      <c r="B70" s="595" t="s">
        <v>859</v>
      </c>
      <c r="C70" s="717">
        <f>+C68-C60</f>
        <v>0</v>
      </c>
      <c r="D70" s="717">
        <f>+D68-D60</f>
        <v>1744422.1099999994</v>
      </c>
      <c r="E70" s="717">
        <f>+E68-E60</f>
        <v>3046013.0300000012</v>
      </c>
    </row>
    <row r="71" spans="1:5" ht="15.75" thickBot="1" x14ac:dyDescent="0.3">
      <c r="A71" s="1581"/>
      <c r="B71" s="608"/>
      <c r="C71" s="622" t="s">
        <v>245</v>
      </c>
      <c r="D71" s="623" t="s">
        <v>245</v>
      </c>
      <c r="E71" s="622" t="s">
        <v>245</v>
      </c>
    </row>
    <row r="72" spans="1:5" ht="5.25" customHeight="1" thickBot="1" x14ac:dyDescent="0.3"/>
    <row r="73" spans="1:5" x14ac:dyDescent="0.25">
      <c r="A73" s="1587" t="s">
        <v>247</v>
      </c>
      <c r="B73" s="1588"/>
      <c r="C73" s="1591" t="s">
        <v>848</v>
      </c>
      <c r="D73" s="1492" t="s">
        <v>399</v>
      </c>
      <c r="E73" s="602" t="s">
        <v>829</v>
      </c>
    </row>
    <row r="74" spans="1:5" ht="15.75" thickBot="1" x14ac:dyDescent="0.3">
      <c r="A74" s="1589"/>
      <c r="B74" s="1590"/>
      <c r="C74" s="1592"/>
      <c r="D74" s="1493"/>
      <c r="E74" s="603" t="s">
        <v>630</v>
      </c>
    </row>
    <row r="75" spans="1:5" x14ac:dyDescent="0.25">
      <c r="A75" s="1584"/>
      <c r="B75" s="1585"/>
      <c r="C75" s="604"/>
      <c r="D75" s="604"/>
      <c r="E75" s="604"/>
    </row>
    <row r="76" spans="1:5" x14ac:dyDescent="0.25">
      <c r="A76" s="1583"/>
      <c r="B76" s="1586" t="s">
        <v>832</v>
      </c>
      <c r="C76" s="1582">
        <f>+C12</f>
        <v>0</v>
      </c>
      <c r="D76" s="1582">
        <f>+D12</f>
        <v>0</v>
      </c>
      <c r="E76" s="1582">
        <f>+E12</f>
        <v>0</v>
      </c>
    </row>
    <row r="77" spans="1:5" x14ac:dyDescent="0.25">
      <c r="A77" s="1583"/>
      <c r="B77" s="1586"/>
      <c r="C77" s="1582"/>
      <c r="D77" s="1582"/>
      <c r="E77" s="1582"/>
    </row>
    <row r="78" spans="1:5" ht="19.5" x14ac:dyDescent="0.25">
      <c r="A78" s="1583"/>
      <c r="B78" s="606" t="s">
        <v>860</v>
      </c>
      <c r="C78" s="714">
        <f>+C79-C80</f>
        <v>0</v>
      </c>
      <c r="D78" s="714">
        <f>+D79-D80</f>
        <v>0</v>
      </c>
      <c r="E78" s="714">
        <f>+E79-E80</f>
        <v>0</v>
      </c>
    </row>
    <row r="79" spans="1:5" x14ac:dyDescent="0.25">
      <c r="A79" s="1583"/>
      <c r="B79" s="605" t="s">
        <v>851</v>
      </c>
      <c r="C79" s="714">
        <f>+C44</f>
        <v>0</v>
      </c>
      <c r="D79" s="714">
        <v>0</v>
      </c>
      <c r="E79" s="714">
        <v>0</v>
      </c>
    </row>
    <row r="80" spans="1:5" x14ac:dyDescent="0.25">
      <c r="A80" s="1583"/>
      <c r="B80" s="605" t="s">
        <v>854</v>
      </c>
      <c r="C80" s="714">
        <f>+C47</f>
        <v>0</v>
      </c>
      <c r="D80" s="714">
        <v>0</v>
      </c>
      <c r="E80" s="714">
        <v>0</v>
      </c>
    </row>
    <row r="81" spans="1:5" x14ac:dyDescent="0.25">
      <c r="A81" s="1583"/>
      <c r="B81" s="765"/>
      <c r="C81" s="714"/>
      <c r="D81" s="714"/>
      <c r="E81" s="714"/>
    </row>
    <row r="82" spans="1:5" x14ac:dyDescent="0.25">
      <c r="A82" s="764"/>
      <c r="B82" s="765" t="s">
        <v>861</v>
      </c>
      <c r="C82" s="714">
        <f>+C17</f>
        <v>0</v>
      </c>
      <c r="D82" s="714">
        <f>+D17</f>
        <v>0</v>
      </c>
      <c r="E82" s="714">
        <f>+E17</f>
        <v>0</v>
      </c>
    </row>
    <row r="83" spans="1:5" x14ac:dyDescent="0.25">
      <c r="A83" s="764"/>
      <c r="B83" s="765"/>
      <c r="C83" s="714" t="s">
        <v>245</v>
      </c>
      <c r="D83" s="714" t="s">
        <v>245</v>
      </c>
      <c r="E83" s="714" t="s">
        <v>245</v>
      </c>
    </row>
    <row r="84" spans="1:5" x14ac:dyDescent="0.25">
      <c r="A84" s="764"/>
      <c r="B84" s="765" t="s">
        <v>839</v>
      </c>
      <c r="C84" s="715"/>
      <c r="D84" s="721">
        <f>+D21</f>
        <v>0</v>
      </c>
      <c r="E84" s="721">
        <f>+E21</f>
        <v>0</v>
      </c>
    </row>
    <row r="85" spans="1:5" x14ac:dyDescent="0.25">
      <c r="A85" s="764"/>
      <c r="B85" s="765"/>
      <c r="C85" s="714"/>
      <c r="D85" s="714"/>
      <c r="E85" s="714"/>
    </row>
    <row r="86" spans="1:5" ht="19.5" x14ac:dyDescent="0.25">
      <c r="A86" s="1580"/>
      <c r="B86" s="595" t="s">
        <v>862</v>
      </c>
      <c r="C86" s="716">
        <f>+C76+C78-C82+C84</f>
        <v>0</v>
      </c>
      <c r="D86" s="716">
        <f>+D76+D78-D82+D84</f>
        <v>0</v>
      </c>
      <c r="E86" s="716">
        <f>+E76+E78-E82+E84</f>
        <v>0</v>
      </c>
    </row>
    <row r="87" spans="1:5" x14ac:dyDescent="0.25">
      <c r="A87" s="1580"/>
      <c r="B87" s="607"/>
      <c r="C87" s="717"/>
      <c r="D87" s="717"/>
      <c r="E87" s="717"/>
    </row>
    <row r="88" spans="1:5" ht="19.5" x14ac:dyDescent="0.25">
      <c r="A88" s="1580"/>
      <c r="B88" s="595" t="s">
        <v>863</v>
      </c>
      <c r="C88" s="718">
        <f>+C86-C78</f>
        <v>0</v>
      </c>
      <c r="D88" s="718">
        <f>+D86-D78</f>
        <v>0</v>
      </c>
      <c r="E88" s="718">
        <f>+E86-E78</f>
        <v>0</v>
      </c>
    </row>
    <row r="89" spans="1:5" ht="15.75" thickBot="1" x14ac:dyDescent="0.3">
      <c r="A89" s="1581"/>
      <c r="B89" s="608"/>
      <c r="C89" s="608"/>
      <c r="D89" s="608"/>
      <c r="E89" s="608"/>
    </row>
  </sheetData>
  <sheetProtection sheet="1" scenarios="1" formatColumns="0" formatRows="0" insertHyperlinks="0"/>
  <mergeCells count="42">
    <mergeCell ref="A43:A44"/>
    <mergeCell ref="A45:A47"/>
    <mergeCell ref="A1:E1"/>
    <mergeCell ref="A39:B40"/>
    <mergeCell ref="C39:C40"/>
    <mergeCell ref="D39:D40"/>
    <mergeCell ref="A32:A34"/>
    <mergeCell ref="A5:E5"/>
    <mergeCell ref="A23:A26"/>
    <mergeCell ref="A29:E29"/>
    <mergeCell ref="A30:B30"/>
    <mergeCell ref="A7:B8"/>
    <mergeCell ref="D7:D8"/>
    <mergeCell ref="A4:E4"/>
    <mergeCell ref="A3:E3"/>
    <mergeCell ref="A2:E2"/>
    <mergeCell ref="A49:A50"/>
    <mergeCell ref="B49:B50"/>
    <mergeCell ref="C49:C50"/>
    <mergeCell ref="D49:D50"/>
    <mergeCell ref="E49:E50"/>
    <mergeCell ref="A55:B56"/>
    <mergeCell ref="D55:D56"/>
    <mergeCell ref="A57:B57"/>
    <mergeCell ref="A58:A59"/>
    <mergeCell ref="B58:B59"/>
    <mergeCell ref="C58:C59"/>
    <mergeCell ref="D58:D59"/>
    <mergeCell ref="A68:A71"/>
    <mergeCell ref="A73:B74"/>
    <mergeCell ref="C73:C74"/>
    <mergeCell ref="D73:D74"/>
    <mergeCell ref="E58:E59"/>
    <mergeCell ref="A60:A63"/>
    <mergeCell ref="A86:A89"/>
    <mergeCell ref="E76:E77"/>
    <mergeCell ref="A78:A81"/>
    <mergeCell ref="A75:B75"/>
    <mergeCell ref="A76:A77"/>
    <mergeCell ref="B76:B77"/>
    <mergeCell ref="C76:C77"/>
    <mergeCell ref="D76:D77"/>
  </mergeCells>
  <printOptions horizontalCentered="1"/>
  <pageMargins left="0.23622047244094491" right="0.23622047244094491" top="0.43307086614173229" bottom="0.43307086614173229" header="0.31496062992125984" footer="0.31496062992125984"/>
  <pageSetup scale="97" orientation="portrait" r:id="rId1"/>
  <rowBreaks count="1" manualBreakCount="1">
    <brk id="52" max="4"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D22"/>
  <sheetViews>
    <sheetView view="pageBreakPreview" zoomScale="90" zoomScaleNormal="100" zoomScaleSheetLayoutView="90" workbookViewId="0">
      <selection activeCell="J15" sqref="J15"/>
    </sheetView>
  </sheetViews>
  <sheetFormatPr baseColWidth="10" defaultColWidth="11.28515625" defaultRowHeight="16.5" x14ac:dyDescent="0.3"/>
  <cols>
    <col min="1" max="1" width="2.85546875" style="7" customWidth="1"/>
    <col min="2" max="2" width="40.28515625" style="3" customWidth="1"/>
    <col min="3" max="3" width="31.7109375" style="3" customWidth="1"/>
    <col min="4" max="4" width="23" style="3" customWidth="1"/>
    <col min="5" max="16384" width="11.28515625" style="3"/>
  </cols>
  <sheetData>
    <row r="1" spans="1:4" x14ac:dyDescent="0.3">
      <c r="A1" s="1607" t="s">
        <v>1028</v>
      </c>
      <c r="B1" s="1607"/>
      <c r="C1" s="1607"/>
      <c r="D1" s="1607"/>
    </row>
    <row r="2" spans="1:4" x14ac:dyDescent="0.3">
      <c r="A2" s="1608" t="s">
        <v>20</v>
      </c>
      <c r="B2" s="1608"/>
      <c r="C2" s="1608"/>
      <c r="D2" s="1608"/>
    </row>
    <row r="3" spans="1:4" x14ac:dyDescent="0.3">
      <c r="A3" s="1607"/>
      <c r="B3" s="1607"/>
      <c r="C3" s="1607"/>
      <c r="D3" s="1607"/>
    </row>
    <row r="4" spans="1:4" x14ac:dyDescent="0.3">
      <c r="A4" s="1608" t="str">
        <f>'CPCA-I-03'!A4:D4</f>
        <v>Del 01 de ENERO al 31 de DICIEMBRE de 2024</v>
      </c>
      <c r="B4" s="1608"/>
      <c r="C4" s="1608"/>
      <c r="D4" s="1608"/>
    </row>
    <row r="5" spans="1:4" x14ac:dyDescent="0.3">
      <c r="A5" s="25"/>
      <c r="B5" s="1608" t="s">
        <v>864</v>
      </c>
      <c r="C5" s="1608"/>
      <c r="D5" s="34"/>
    </row>
    <row r="6" spans="1:4" ht="6.75" customHeight="1" thickBot="1" x14ac:dyDescent="0.35"/>
    <row r="7" spans="1:4" s="21" customFormat="1" ht="30" customHeight="1" x14ac:dyDescent="0.25">
      <c r="A7" s="1611" t="s">
        <v>865</v>
      </c>
      <c r="B7" s="1612"/>
      <c r="C7" s="1609" t="s">
        <v>866</v>
      </c>
      <c r="D7" s="1610"/>
    </row>
    <row r="8" spans="1:4" s="21" customFormat="1" ht="32.25" customHeight="1" thickBot="1" x14ac:dyDescent="0.3">
      <c r="A8" s="1613"/>
      <c r="B8" s="1614"/>
      <c r="C8" s="26" t="s">
        <v>867</v>
      </c>
      <c r="D8" s="27" t="s">
        <v>868</v>
      </c>
    </row>
    <row r="9" spans="1:4" s="21" customFormat="1" ht="31.5" customHeight="1" x14ac:dyDescent="0.25">
      <c r="A9" s="22">
        <v>1</v>
      </c>
      <c r="B9" s="31" t="s">
        <v>1226</v>
      </c>
      <c r="C9" s="23" t="s">
        <v>1227</v>
      </c>
      <c r="D9" s="994" t="s">
        <v>1228</v>
      </c>
    </row>
    <row r="10" spans="1:4" s="21" customFormat="1" ht="31.5" customHeight="1" x14ac:dyDescent="0.25">
      <c r="A10" s="22">
        <v>2</v>
      </c>
      <c r="B10" s="31" t="s">
        <v>1229</v>
      </c>
      <c r="C10" s="23" t="s">
        <v>1227</v>
      </c>
      <c r="D10" s="994" t="s">
        <v>1230</v>
      </c>
    </row>
    <row r="11" spans="1:4" s="21" customFormat="1" ht="31.5" customHeight="1" x14ac:dyDescent="0.25">
      <c r="A11" s="22">
        <v>3</v>
      </c>
      <c r="B11" s="31" t="s">
        <v>1231</v>
      </c>
      <c r="C11" s="23" t="s">
        <v>1227</v>
      </c>
      <c r="D11" s="994" t="s">
        <v>1232</v>
      </c>
    </row>
    <row r="12" spans="1:4" s="21" customFormat="1" ht="31.5" customHeight="1" x14ac:dyDescent="0.25">
      <c r="A12" s="22"/>
      <c r="B12" s="31"/>
      <c r="C12" s="23"/>
      <c r="D12" s="24"/>
    </row>
    <row r="13" spans="1:4" s="21" customFormat="1" ht="31.5" customHeight="1" x14ac:dyDescent="0.25">
      <c r="A13" s="22"/>
      <c r="B13" s="31"/>
      <c r="C13" s="23"/>
      <c r="D13" s="24"/>
    </row>
    <row r="14" spans="1:4" s="21" customFormat="1" ht="31.5" customHeight="1" x14ac:dyDescent="0.25">
      <c r="A14" s="22"/>
      <c r="B14" s="31"/>
      <c r="C14" s="23"/>
      <c r="D14" s="24"/>
    </row>
    <row r="15" spans="1:4" s="21" customFormat="1" ht="31.5" customHeight="1" x14ac:dyDescent="0.25">
      <c r="A15" s="22"/>
      <c r="B15" s="31"/>
      <c r="C15" s="23"/>
      <c r="D15" s="24"/>
    </row>
    <row r="16" spans="1:4" s="21" customFormat="1" ht="31.5" customHeight="1" x14ac:dyDescent="0.25">
      <c r="A16" s="1603"/>
      <c r="B16" s="1604"/>
      <c r="C16" s="1605"/>
      <c r="D16" s="1606"/>
    </row>
    <row r="17" spans="1:2" x14ac:dyDescent="0.3">
      <c r="A17" s="419" t="s">
        <v>81</v>
      </c>
      <c r="B17" s="32"/>
    </row>
    <row r="18" spans="1:2" x14ac:dyDescent="0.3">
      <c r="A18" s="419"/>
      <c r="B18" s="32"/>
    </row>
    <row r="19" spans="1:2" x14ac:dyDescent="0.3">
      <c r="A19" s="419"/>
      <c r="B19" s="32"/>
    </row>
    <row r="20" spans="1:2" x14ac:dyDescent="0.3">
      <c r="A20" s="419"/>
      <c r="B20" s="32"/>
    </row>
    <row r="21" spans="1:2" x14ac:dyDescent="0.3">
      <c r="A21" s="3"/>
    </row>
    <row r="22" spans="1:2" ht="18.75" x14ac:dyDescent="0.3">
      <c r="B22" s="372" t="s">
        <v>869</v>
      </c>
    </row>
  </sheetData>
  <mergeCells count="8">
    <mergeCell ref="A16:D16"/>
    <mergeCell ref="A1:D1"/>
    <mergeCell ref="A3:D3"/>
    <mergeCell ref="A4:D4"/>
    <mergeCell ref="C7:D7"/>
    <mergeCell ref="A2:D2"/>
    <mergeCell ref="A7:B8"/>
    <mergeCell ref="B5:C5"/>
  </mergeCells>
  <printOptions horizontalCentered="1"/>
  <pageMargins left="0.39370078740157483" right="0.39370078740157483" top="0.74803149606299213" bottom="0.74803149606299213" header="0.31496062992125984" footer="0.31496062992125984"/>
  <pageSetup scale="92"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4"/>
  <sheetViews>
    <sheetView view="pageBreakPreview" topLeftCell="A3" zoomScale="106" zoomScaleNormal="100" zoomScaleSheetLayoutView="106" workbookViewId="0">
      <selection activeCell="A3" sqref="A3:C3"/>
    </sheetView>
  </sheetViews>
  <sheetFormatPr baseColWidth="10" defaultColWidth="11.42578125" defaultRowHeight="15" x14ac:dyDescent="0.25"/>
  <cols>
    <col min="1" max="1" width="29" style="1044" customWidth="1"/>
    <col min="2" max="2" width="38.5703125" style="1044" customWidth="1"/>
    <col min="3" max="3" width="46.140625" style="1044" customWidth="1"/>
    <col min="4" max="4" width="0.140625" style="1044" hidden="1" customWidth="1"/>
    <col min="5" max="6" width="11.42578125" style="1044" hidden="1" customWidth="1"/>
    <col min="7" max="16384" width="11.42578125" style="1044"/>
  </cols>
  <sheetData>
    <row r="1" spans="1:3" ht="15.75" x14ac:dyDescent="0.25">
      <c r="A1" s="1607" t="str">
        <f>'CPCA-IV-03'!A1:D1</f>
        <v>RADIO SONORA</v>
      </c>
      <c r="B1" s="1607">
        <f>'[3]ETCA-I-01'!A1:G1</f>
        <v>0</v>
      </c>
      <c r="C1" s="1607"/>
    </row>
    <row r="2" spans="1:3" ht="15.75" x14ac:dyDescent="0.25">
      <c r="A2" s="1607" t="s">
        <v>1383</v>
      </c>
      <c r="B2" s="1607"/>
      <c r="C2" s="1607"/>
    </row>
    <row r="3" spans="1:3" ht="15.75" x14ac:dyDescent="0.25">
      <c r="A3" s="1607" t="str">
        <f>'CPCA-II-15'!A4:C4</f>
        <v>AL 31 DE DICIEMBRE DE 2024</v>
      </c>
      <c r="B3" s="1607"/>
      <c r="C3" s="1607"/>
    </row>
    <row r="4" spans="1:3" ht="15.75" thickBot="1" x14ac:dyDescent="0.3"/>
    <row r="5" spans="1:3" x14ac:dyDescent="0.25">
      <c r="A5" s="1617" t="s">
        <v>1357</v>
      </c>
      <c r="B5" s="1617" t="s">
        <v>247</v>
      </c>
      <c r="C5" s="1110" t="s">
        <v>1384</v>
      </c>
    </row>
    <row r="6" spans="1:3" ht="24" x14ac:dyDescent="0.25">
      <c r="A6" s="1618"/>
      <c r="B6" s="1618"/>
      <c r="C6" s="1111" t="s">
        <v>1385</v>
      </c>
    </row>
    <row r="7" spans="1:3" x14ac:dyDescent="0.25">
      <c r="A7" s="1130">
        <v>1</v>
      </c>
      <c r="B7" s="1130" t="s">
        <v>1386</v>
      </c>
      <c r="C7" s="1131"/>
    </row>
    <row r="8" spans="1:3" x14ac:dyDescent="0.25">
      <c r="A8" s="1130"/>
      <c r="B8" s="1130"/>
      <c r="C8" s="1131"/>
    </row>
    <row r="9" spans="1:3" x14ac:dyDescent="0.25">
      <c r="A9" s="1130">
        <v>1.1000000000000001</v>
      </c>
      <c r="B9" s="1130" t="s">
        <v>1570</v>
      </c>
      <c r="C9" s="1131"/>
    </row>
    <row r="10" spans="1:3" x14ac:dyDescent="0.25">
      <c r="A10" s="1130"/>
      <c r="B10" s="1130"/>
      <c r="C10" s="1131"/>
    </row>
    <row r="11" spans="1:3" x14ac:dyDescent="0.25">
      <c r="A11" s="1130" t="s">
        <v>1571</v>
      </c>
      <c r="B11" s="1130" t="s">
        <v>199</v>
      </c>
      <c r="C11" s="1131"/>
    </row>
    <row r="12" spans="1:3" ht="24" x14ac:dyDescent="0.25">
      <c r="A12" s="1130" t="s">
        <v>1572</v>
      </c>
      <c r="B12" s="1130" t="s">
        <v>1573</v>
      </c>
      <c r="C12" s="1130"/>
    </row>
    <row r="13" spans="1:3" x14ac:dyDescent="0.25">
      <c r="A13" s="1131"/>
      <c r="B13" s="1132"/>
      <c r="C13" s="1131"/>
    </row>
    <row r="14" spans="1:3" x14ac:dyDescent="0.25">
      <c r="A14" s="1131" t="s">
        <v>1574</v>
      </c>
      <c r="B14" s="1132" t="s">
        <v>1575</v>
      </c>
      <c r="C14" s="1131"/>
    </row>
    <row r="15" spans="1:3" x14ac:dyDescent="0.25">
      <c r="A15" s="1131" t="s">
        <v>1576</v>
      </c>
      <c r="B15" s="1131" t="s">
        <v>1577</v>
      </c>
      <c r="C15" s="1133">
        <v>0</v>
      </c>
    </row>
    <row r="16" spans="1:3" x14ac:dyDescent="0.25">
      <c r="A16" s="1130"/>
      <c r="B16" s="1130"/>
      <c r="C16" s="1130"/>
    </row>
    <row r="17" spans="1:3" ht="24" x14ac:dyDescent="0.25">
      <c r="A17" s="1131" t="s">
        <v>1578</v>
      </c>
      <c r="B17" s="1132" t="s">
        <v>1579</v>
      </c>
      <c r="C17" s="1131"/>
    </row>
    <row r="18" spans="1:3" x14ac:dyDescent="0.25">
      <c r="A18" s="1131" t="s">
        <v>1580</v>
      </c>
      <c r="B18" s="1131" t="s">
        <v>1577</v>
      </c>
      <c r="C18" s="1133">
        <v>0</v>
      </c>
    </row>
    <row r="19" spans="1:3" x14ac:dyDescent="0.25">
      <c r="A19" s="1130"/>
      <c r="B19" s="1130"/>
      <c r="C19" s="1130"/>
    </row>
    <row r="20" spans="1:3" x14ac:dyDescent="0.25">
      <c r="A20" s="1131" t="s">
        <v>1581</v>
      </c>
      <c r="B20" s="1132" t="s">
        <v>1582</v>
      </c>
      <c r="C20" s="1131"/>
    </row>
    <row r="21" spans="1:3" x14ac:dyDescent="0.25">
      <c r="A21" s="1130"/>
      <c r="B21" s="1130"/>
      <c r="C21" s="1130"/>
    </row>
    <row r="22" spans="1:3" ht="24" x14ac:dyDescent="0.25">
      <c r="A22" s="1130" t="s">
        <v>1583</v>
      </c>
      <c r="B22" s="1130" t="s">
        <v>1584</v>
      </c>
      <c r="C22" s="1130"/>
    </row>
    <row r="23" spans="1:3" x14ac:dyDescent="0.25">
      <c r="A23" s="1131" t="s">
        <v>1585</v>
      </c>
      <c r="B23" s="1131" t="s">
        <v>1586</v>
      </c>
      <c r="C23" s="1133">
        <v>0</v>
      </c>
    </row>
    <row r="24" spans="1:3" x14ac:dyDescent="0.25">
      <c r="A24" s="1131"/>
      <c r="B24" s="1131"/>
      <c r="C24" s="1131"/>
    </row>
    <row r="25" spans="1:3" x14ac:dyDescent="0.25">
      <c r="A25" s="1130" t="s">
        <v>1587</v>
      </c>
      <c r="B25" s="1130" t="s">
        <v>1588</v>
      </c>
      <c r="C25" s="1133">
        <v>0</v>
      </c>
    </row>
    <row r="26" spans="1:3" x14ac:dyDescent="0.25">
      <c r="A26" s="1131"/>
      <c r="B26" s="1131"/>
      <c r="C26" s="1131"/>
    </row>
    <row r="27" spans="1:3" x14ac:dyDescent="0.25">
      <c r="A27" s="1130" t="s">
        <v>1589</v>
      </c>
      <c r="B27" s="1130" t="s">
        <v>1590</v>
      </c>
      <c r="C27" s="1130"/>
    </row>
    <row r="28" spans="1:3" ht="24" x14ac:dyDescent="0.25">
      <c r="A28" s="1131" t="s">
        <v>1591</v>
      </c>
      <c r="B28" s="1131" t="s">
        <v>1592</v>
      </c>
      <c r="C28" s="1134">
        <v>0</v>
      </c>
    </row>
    <row r="29" spans="1:3" x14ac:dyDescent="0.25">
      <c r="A29" s="1131" t="s">
        <v>1593</v>
      </c>
      <c r="B29" s="1131" t="s">
        <v>1594</v>
      </c>
      <c r="C29" s="1133">
        <v>0</v>
      </c>
    </row>
    <row r="30" spans="1:3" ht="24" x14ac:dyDescent="0.25">
      <c r="A30" s="1131" t="s">
        <v>1595</v>
      </c>
      <c r="B30" s="1131" t="s">
        <v>1596</v>
      </c>
      <c r="C30" s="1133">
        <v>0</v>
      </c>
    </row>
    <row r="31" spans="1:3" x14ac:dyDescent="0.25">
      <c r="A31" s="1131" t="s">
        <v>1597</v>
      </c>
      <c r="B31" s="1131" t="s">
        <v>1598</v>
      </c>
      <c r="C31" s="1133">
        <v>0</v>
      </c>
    </row>
    <row r="32" spans="1:3" x14ac:dyDescent="0.25">
      <c r="A32" s="1130"/>
      <c r="B32" s="1130"/>
      <c r="C32" s="1130"/>
    </row>
    <row r="33" spans="1:3" ht="36" x14ac:dyDescent="0.25">
      <c r="A33" s="1130" t="s">
        <v>1599</v>
      </c>
      <c r="B33" s="1130" t="s">
        <v>1600</v>
      </c>
      <c r="C33" s="1130"/>
    </row>
    <row r="34" spans="1:3" x14ac:dyDescent="0.25">
      <c r="A34" s="1131" t="s">
        <v>1601</v>
      </c>
      <c r="B34" s="1131" t="s">
        <v>1602</v>
      </c>
      <c r="C34" s="1133">
        <v>0</v>
      </c>
    </row>
    <row r="35" spans="1:3" x14ac:dyDescent="0.25">
      <c r="A35" s="1131" t="s">
        <v>1603</v>
      </c>
      <c r="B35" s="1131" t="s">
        <v>1604</v>
      </c>
      <c r="C35" s="1133">
        <v>0</v>
      </c>
    </row>
    <row r="36" spans="1:3" x14ac:dyDescent="0.25">
      <c r="A36" s="1130"/>
      <c r="B36" s="1130"/>
      <c r="C36" s="1130"/>
    </row>
    <row r="37" spans="1:3" x14ac:dyDescent="0.25">
      <c r="A37" s="1130" t="s">
        <v>1605</v>
      </c>
      <c r="B37" s="1130" t="s">
        <v>1606</v>
      </c>
      <c r="C37" s="1133">
        <v>0</v>
      </c>
    </row>
    <row r="38" spans="1:3" x14ac:dyDescent="0.25">
      <c r="A38" s="1131"/>
      <c r="B38" s="1131"/>
      <c r="C38" s="1131"/>
    </row>
    <row r="39" spans="1:3" x14ac:dyDescent="0.25">
      <c r="A39" s="1130" t="s">
        <v>1607</v>
      </c>
      <c r="B39" s="1130" t="s">
        <v>1608</v>
      </c>
      <c r="C39" s="1133">
        <v>0</v>
      </c>
    </row>
    <row r="40" spans="1:3" x14ac:dyDescent="0.25">
      <c r="A40" s="1131"/>
      <c r="B40" s="1131"/>
      <c r="C40" s="1131"/>
    </row>
    <row r="41" spans="1:3" x14ac:dyDescent="0.25">
      <c r="A41" s="1130" t="s">
        <v>1609</v>
      </c>
      <c r="B41" s="1130" t="s">
        <v>1610</v>
      </c>
      <c r="C41" s="1133">
        <v>0</v>
      </c>
    </row>
    <row r="42" spans="1:3" x14ac:dyDescent="0.25">
      <c r="A42" s="1131"/>
      <c r="B42" s="1131"/>
      <c r="C42" s="1131"/>
    </row>
    <row r="43" spans="1:3" x14ac:dyDescent="0.25">
      <c r="A43" s="1130" t="s">
        <v>1611</v>
      </c>
      <c r="B43" s="1130" t="s">
        <v>1612</v>
      </c>
      <c r="C43" s="1133">
        <v>0</v>
      </c>
    </row>
    <row r="44" spans="1:3" x14ac:dyDescent="0.25">
      <c r="A44" s="1130"/>
      <c r="B44" s="1130"/>
      <c r="C44" s="1131"/>
    </row>
    <row r="45" spans="1:3" x14ac:dyDescent="0.25">
      <c r="A45" s="1130" t="s">
        <v>1613</v>
      </c>
      <c r="B45" s="1130" t="s">
        <v>1614</v>
      </c>
      <c r="C45" s="1131"/>
    </row>
    <row r="46" spans="1:3" x14ac:dyDescent="0.25">
      <c r="A46" s="1131" t="s">
        <v>1615</v>
      </c>
      <c r="B46" s="1131" t="s">
        <v>1616</v>
      </c>
      <c r="C46" s="1133">
        <v>0</v>
      </c>
    </row>
    <row r="47" spans="1:3" x14ac:dyDescent="0.25">
      <c r="A47" s="1131" t="s">
        <v>1617</v>
      </c>
      <c r="B47" s="1131" t="s">
        <v>1618</v>
      </c>
      <c r="C47" s="1133">
        <v>0</v>
      </c>
    </row>
    <row r="48" spans="1:3" ht="24" x14ac:dyDescent="0.25">
      <c r="A48" s="1131" t="s">
        <v>1619</v>
      </c>
      <c r="B48" s="1131" t="s">
        <v>1620</v>
      </c>
      <c r="C48" s="1133">
        <v>0</v>
      </c>
    </row>
    <row r="49" spans="1:3" x14ac:dyDescent="0.25">
      <c r="A49" s="1131" t="s">
        <v>1621</v>
      </c>
      <c r="B49" s="1131" t="s">
        <v>1622</v>
      </c>
      <c r="C49" s="1133">
        <v>0</v>
      </c>
    </row>
    <row r="50" spans="1:3" x14ac:dyDescent="0.25">
      <c r="A50" s="1130" t="s">
        <v>1623</v>
      </c>
      <c r="B50" s="1130" t="s">
        <v>383</v>
      </c>
      <c r="C50" s="1133">
        <v>0</v>
      </c>
    </row>
    <row r="51" spans="1:3" x14ac:dyDescent="0.25">
      <c r="A51" s="1131"/>
      <c r="B51" s="1131"/>
      <c r="C51" s="1131"/>
    </row>
    <row r="52" spans="1:3" ht="24" x14ac:dyDescent="0.25">
      <c r="A52" s="1130" t="s">
        <v>1387</v>
      </c>
      <c r="B52" s="1130" t="s">
        <v>1388</v>
      </c>
      <c r="C52" s="1135">
        <f>SUM(C53)</f>
        <v>2987115.89</v>
      </c>
    </row>
    <row r="53" spans="1:3" x14ac:dyDescent="0.25">
      <c r="A53" s="1131" t="s">
        <v>1389</v>
      </c>
      <c r="B53" s="1131" t="s">
        <v>1390</v>
      </c>
      <c r="C53" s="1136">
        <f>'CPCA-II-01'!$F$16</f>
        <v>2987115.89</v>
      </c>
    </row>
    <row r="54" spans="1:3" ht="24" x14ac:dyDescent="0.25">
      <c r="A54" s="1131" t="s">
        <v>1624</v>
      </c>
      <c r="B54" s="1131" t="s">
        <v>1625</v>
      </c>
      <c r="C54" s="1133">
        <v>0</v>
      </c>
    </row>
    <row r="55" spans="1:3" ht="24" x14ac:dyDescent="0.25">
      <c r="A55" s="1131" t="s">
        <v>1626</v>
      </c>
      <c r="B55" s="1131" t="s">
        <v>1627</v>
      </c>
      <c r="C55" s="1133">
        <v>0</v>
      </c>
    </row>
    <row r="56" spans="1:3" x14ac:dyDescent="0.25">
      <c r="A56" s="1131"/>
      <c r="B56" s="1131"/>
      <c r="C56" s="1131"/>
    </row>
    <row r="57" spans="1:3" x14ac:dyDescent="0.25">
      <c r="A57" s="1130" t="s">
        <v>1628</v>
      </c>
      <c r="B57" s="1130" t="s">
        <v>1629</v>
      </c>
      <c r="C57" s="1131"/>
    </row>
    <row r="58" spans="1:3" x14ac:dyDescent="0.25">
      <c r="A58" s="1131" t="s">
        <v>1630</v>
      </c>
      <c r="B58" s="1131" t="s">
        <v>1631</v>
      </c>
      <c r="C58" s="1133">
        <v>0</v>
      </c>
    </row>
    <row r="59" spans="1:3" x14ac:dyDescent="0.25">
      <c r="A59" s="1131" t="s">
        <v>1632</v>
      </c>
      <c r="B59" s="1131" t="s">
        <v>1633</v>
      </c>
      <c r="C59" s="1131"/>
    </row>
    <row r="60" spans="1:3" x14ac:dyDescent="0.25">
      <c r="A60" s="1131" t="s">
        <v>1634</v>
      </c>
      <c r="B60" s="1131" t="s">
        <v>1635</v>
      </c>
      <c r="C60" s="1131"/>
    </row>
    <row r="61" spans="1:3" x14ac:dyDescent="0.25">
      <c r="A61" s="1131" t="s">
        <v>1636</v>
      </c>
      <c r="B61" s="1131" t="s">
        <v>1637</v>
      </c>
      <c r="C61" s="1133">
        <v>0</v>
      </c>
    </row>
    <row r="62" spans="1:3" x14ac:dyDescent="0.25">
      <c r="A62" s="1131" t="s">
        <v>1638</v>
      </c>
      <c r="B62" s="1131" t="s">
        <v>1639</v>
      </c>
      <c r="C62" s="1133">
        <v>0</v>
      </c>
    </row>
    <row r="63" spans="1:3" x14ac:dyDescent="0.25">
      <c r="A63" s="1131" t="s">
        <v>1640</v>
      </c>
      <c r="B63" s="1131" t="s">
        <v>1641</v>
      </c>
      <c r="C63" s="1133">
        <v>0</v>
      </c>
    </row>
    <row r="64" spans="1:3" x14ac:dyDescent="0.25">
      <c r="A64" s="1131"/>
      <c r="B64" s="1131"/>
      <c r="C64" s="1131"/>
    </row>
    <row r="65" spans="1:3" ht="36" x14ac:dyDescent="0.25">
      <c r="A65" s="1130" t="s">
        <v>1391</v>
      </c>
      <c r="B65" s="1130" t="s">
        <v>1392</v>
      </c>
      <c r="C65" s="1130"/>
    </row>
    <row r="66" spans="1:3" x14ac:dyDescent="0.25">
      <c r="A66" s="1131" t="s">
        <v>1642</v>
      </c>
      <c r="B66" s="1131" t="s">
        <v>1643</v>
      </c>
      <c r="C66" s="1133">
        <v>0</v>
      </c>
    </row>
    <row r="67" spans="1:3" x14ac:dyDescent="0.25">
      <c r="A67" s="1131" t="s">
        <v>1644</v>
      </c>
      <c r="B67" s="1131" t="s">
        <v>1645</v>
      </c>
      <c r="C67" s="1133">
        <v>0</v>
      </c>
    </row>
    <row r="68" spans="1:3" x14ac:dyDescent="0.25">
      <c r="A68" s="1131" t="s">
        <v>1393</v>
      </c>
      <c r="B68" s="1131" t="s">
        <v>1394</v>
      </c>
      <c r="C68" s="1134">
        <v>0</v>
      </c>
    </row>
    <row r="69" spans="1:3" x14ac:dyDescent="0.25">
      <c r="A69" s="1130"/>
      <c r="B69" s="1130"/>
      <c r="C69" s="1130"/>
    </row>
    <row r="70" spans="1:3" x14ac:dyDescent="0.25">
      <c r="A70" s="1130"/>
      <c r="B70" s="1130"/>
      <c r="C70" s="1130"/>
    </row>
    <row r="71" spans="1:3" ht="24" x14ac:dyDescent="0.25">
      <c r="A71" s="1130" t="s">
        <v>1395</v>
      </c>
      <c r="B71" s="1130" t="s">
        <v>1396</v>
      </c>
      <c r="C71" s="1135">
        <f>SUM(C72:C73)</f>
        <v>33638983.780000001</v>
      </c>
    </row>
    <row r="72" spans="1:3" ht="36" x14ac:dyDescent="0.25">
      <c r="A72" s="1131" t="s">
        <v>1397</v>
      </c>
      <c r="B72" s="1131" t="s">
        <v>1398</v>
      </c>
      <c r="C72" s="1136">
        <f>'CPCA-II-01'!$F$18</f>
        <v>33638983.780000001</v>
      </c>
    </row>
    <row r="73" spans="1:3" ht="36" x14ac:dyDescent="0.25">
      <c r="A73" s="1131" t="s">
        <v>1646</v>
      </c>
      <c r="B73" s="1131" t="s">
        <v>1647</v>
      </c>
      <c r="C73" s="1133">
        <v>0</v>
      </c>
    </row>
    <row r="74" spans="1:3" x14ac:dyDescent="0.25">
      <c r="A74" s="1130"/>
      <c r="B74" s="1130"/>
      <c r="C74" s="1130"/>
    </row>
    <row r="75" spans="1:3" ht="24" x14ac:dyDescent="0.25">
      <c r="A75" s="1130" t="s">
        <v>1648</v>
      </c>
      <c r="B75" s="1130" t="s">
        <v>1649</v>
      </c>
      <c r="C75" s="1130"/>
    </row>
    <row r="76" spans="1:3" x14ac:dyDescent="0.25">
      <c r="A76" s="1131" t="s">
        <v>1650</v>
      </c>
      <c r="B76" s="1131" t="s">
        <v>1651</v>
      </c>
      <c r="C76" s="1134">
        <v>0</v>
      </c>
    </row>
    <row r="77" spans="1:3" x14ac:dyDescent="0.25">
      <c r="A77" s="1131" t="s">
        <v>1652</v>
      </c>
      <c r="B77" s="1131" t="s">
        <v>1653</v>
      </c>
      <c r="C77" s="1133">
        <v>0</v>
      </c>
    </row>
    <row r="78" spans="1:3" x14ac:dyDescent="0.25">
      <c r="A78" s="1131" t="s">
        <v>1654</v>
      </c>
      <c r="B78" s="1131" t="s">
        <v>1655</v>
      </c>
      <c r="C78" s="1131"/>
    </row>
    <row r="79" spans="1:3" x14ac:dyDescent="0.25">
      <c r="A79" s="1131" t="s">
        <v>1656</v>
      </c>
      <c r="B79" s="1131" t="s">
        <v>1657</v>
      </c>
      <c r="C79" s="1133">
        <v>0</v>
      </c>
    </row>
    <row r="80" spans="1:3" x14ac:dyDescent="0.25">
      <c r="A80" s="1131" t="s">
        <v>1658</v>
      </c>
      <c r="B80" s="1131" t="s">
        <v>1659</v>
      </c>
      <c r="C80" s="1133">
        <v>0</v>
      </c>
    </row>
    <row r="81" spans="1:3" x14ac:dyDescent="0.25">
      <c r="A81" s="1131" t="s">
        <v>1660</v>
      </c>
      <c r="B81" s="1131" t="s">
        <v>220</v>
      </c>
      <c r="C81" s="1133">
        <v>0</v>
      </c>
    </row>
    <row r="82" spans="1:3" ht="24" x14ac:dyDescent="0.25">
      <c r="A82" s="1131" t="s">
        <v>1661</v>
      </c>
      <c r="B82" s="1131" t="s">
        <v>1662</v>
      </c>
      <c r="C82" s="1133">
        <v>0</v>
      </c>
    </row>
    <row r="83" spans="1:3" x14ac:dyDescent="0.25">
      <c r="A83" s="1131" t="s">
        <v>1663</v>
      </c>
      <c r="B83" s="1131" t="s">
        <v>1664</v>
      </c>
      <c r="C83" s="1133">
        <v>0</v>
      </c>
    </row>
    <row r="84" spans="1:3" x14ac:dyDescent="0.25">
      <c r="A84" s="1131" t="s">
        <v>1665</v>
      </c>
      <c r="B84" s="1131" t="s">
        <v>1666</v>
      </c>
      <c r="C84" s="1133">
        <v>0</v>
      </c>
    </row>
    <row r="85" spans="1:3" x14ac:dyDescent="0.25">
      <c r="A85" s="1131" t="s">
        <v>1667</v>
      </c>
      <c r="B85" s="1131" t="s">
        <v>1668</v>
      </c>
      <c r="C85" s="1131"/>
    </row>
    <row r="86" spans="1:3" x14ac:dyDescent="0.25">
      <c r="A86" s="1131" t="s">
        <v>1669</v>
      </c>
      <c r="B86" s="1131" t="s">
        <v>1670</v>
      </c>
      <c r="C86" s="1131"/>
    </row>
    <row r="87" spans="1:3" x14ac:dyDescent="0.25">
      <c r="A87" s="1131" t="s">
        <v>1671</v>
      </c>
      <c r="B87" s="1131" t="s">
        <v>1672</v>
      </c>
      <c r="C87" s="1131"/>
    </row>
    <row r="88" spans="1:3" x14ac:dyDescent="0.25">
      <c r="A88" s="1131" t="s">
        <v>1673</v>
      </c>
      <c r="B88" s="1131" t="s">
        <v>1674</v>
      </c>
      <c r="C88" s="1131"/>
    </row>
    <row r="89" spans="1:3" x14ac:dyDescent="0.25">
      <c r="A89" s="1130"/>
      <c r="B89" s="1130"/>
      <c r="C89" s="1130"/>
    </row>
    <row r="90" spans="1:3" x14ac:dyDescent="0.25">
      <c r="A90" s="1130" t="s">
        <v>1675</v>
      </c>
      <c r="B90" s="1130" t="s">
        <v>226</v>
      </c>
      <c r="C90" s="1133">
        <v>0</v>
      </c>
    </row>
    <row r="91" spans="1:3" x14ac:dyDescent="0.25">
      <c r="A91" s="1131"/>
      <c r="B91" s="1131"/>
      <c r="C91" s="1131"/>
    </row>
    <row r="92" spans="1:3" x14ac:dyDescent="0.25">
      <c r="A92" s="1130">
        <v>1.2</v>
      </c>
      <c r="B92" s="1130" t="s">
        <v>1676</v>
      </c>
      <c r="C92" s="1131"/>
    </row>
    <row r="93" spans="1:3" x14ac:dyDescent="0.25">
      <c r="A93" s="1130"/>
      <c r="B93" s="1130"/>
      <c r="C93" s="1131"/>
    </row>
    <row r="94" spans="1:3" x14ac:dyDescent="0.25">
      <c r="A94" s="1130" t="s">
        <v>1677</v>
      </c>
      <c r="B94" s="1130" t="s">
        <v>1678</v>
      </c>
      <c r="C94" s="1131"/>
    </row>
    <row r="95" spans="1:3" x14ac:dyDescent="0.25">
      <c r="A95" s="1131" t="s">
        <v>1679</v>
      </c>
      <c r="B95" s="1131" t="s">
        <v>1680</v>
      </c>
      <c r="C95" s="1133">
        <v>0</v>
      </c>
    </row>
    <row r="96" spans="1:3" x14ac:dyDescent="0.25">
      <c r="A96" s="1131" t="s">
        <v>1681</v>
      </c>
      <c r="B96" s="1131" t="s">
        <v>1682</v>
      </c>
      <c r="C96" s="1133">
        <v>0</v>
      </c>
    </row>
    <row r="97" spans="1:3" x14ac:dyDescent="0.25">
      <c r="A97" s="1131" t="s">
        <v>1683</v>
      </c>
      <c r="B97" s="1131" t="s">
        <v>1684</v>
      </c>
      <c r="C97" s="1133">
        <v>0</v>
      </c>
    </row>
    <row r="98" spans="1:3" x14ac:dyDescent="0.25">
      <c r="A98" s="1130"/>
      <c r="B98" s="1130"/>
      <c r="C98" s="1130"/>
    </row>
    <row r="99" spans="1:3" x14ac:dyDescent="0.25">
      <c r="A99" s="1130" t="s">
        <v>1685</v>
      </c>
      <c r="B99" s="1130" t="s">
        <v>1686</v>
      </c>
      <c r="C99" s="1137" t="s">
        <v>1399</v>
      </c>
    </row>
    <row r="100" spans="1:3" x14ac:dyDescent="0.25">
      <c r="A100" s="1131" t="s">
        <v>1687</v>
      </c>
      <c r="B100" s="1131" t="s">
        <v>214</v>
      </c>
      <c r="C100" s="1133">
        <v>0</v>
      </c>
    </row>
    <row r="101" spans="1:3" x14ac:dyDescent="0.25">
      <c r="A101" s="1131" t="s">
        <v>1688</v>
      </c>
      <c r="B101" s="1131" t="s">
        <v>1689</v>
      </c>
      <c r="C101" s="1133">
        <v>0</v>
      </c>
    </row>
    <row r="102" spans="1:3" x14ac:dyDescent="0.25">
      <c r="A102" s="1131" t="s">
        <v>1690</v>
      </c>
      <c r="B102" s="1131" t="s">
        <v>1691</v>
      </c>
      <c r="C102" s="1133">
        <v>0</v>
      </c>
    </row>
    <row r="103" spans="1:3" x14ac:dyDescent="0.25">
      <c r="A103" s="1131" t="s">
        <v>1692</v>
      </c>
      <c r="B103" s="1131" t="s">
        <v>1693</v>
      </c>
      <c r="C103" s="1133">
        <v>0</v>
      </c>
    </row>
    <row r="104" spans="1:3" x14ac:dyDescent="0.25">
      <c r="A104" s="1131" t="s">
        <v>1694</v>
      </c>
      <c r="B104" s="1131" t="s">
        <v>1695</v>
      </c>
      <c r="C104" s="1133">
        <v>0</v>
      </c>
    </row>
    <row r="105" spans="1:3" x14ac:dyDescent="0.25">
      <c r="A105" s="1131" t="s">
        <v>1696</v>
      </c>
      <c r="B105" s="1131" t="s">
        <v>1697</v>
      </c>
      <c r="C105" s="1133">
        <v>0</v>
      </c>
    </row>
    <row r="106" spans="1:3" x14ac:dyDescent="0.25">
      <c r="A106" s="1616" t="s">
        <v>1698</v>
      </c>
      <c r="B106" s="1616" t="s">
        <v>1699</v>
      </c>
      <c r="C106" s="1133">
        <v>0</v>
      </c>
    </row>
    <row r="107" spans="1:3" x14ac:dyDescent="0.25">
      <c r="A107" s="1616"/>
      <c r="B107" s="1616"/>
      <c r="C107" s="1133">
        <v>0</v>
      </c>
    </row>
    <row r="108" spans="1:3" x14ac:dyDescent="0.25">
      <c r="A108" s="1130"/>
      <c r="B108" s="1130"/>
      <c r="C108" s="1130"/>
    </row>
    <row r="109" spans="1:3" ht="24" x14ac:dyDescent="0.25">
      <c r="A109" s="1130" t="s">
        <v>1700</v>
      </c>
      <c r="B109" s="1130" t="s">
        <v>1701</v>
      </c>
      <c r="C109" s="1137" t="s">
        <v>1399</v>
      </c>
    </row>
    <row r="110" spans="1:3" x14ac:dyDescent="0.25">
      <c r="A110" s="1130"/>
      <c r="B110" s="1130"/>
      <c r="C110" s="1130"/>
    </row>
    <row r="111" spans="1:3" x14ac:dyDescent="0.25">
      <c r="A111" s="1131" t="s">
        <v>1702</v>
      </c>
      <c r="B111" s="1131" t="s">
        <v>1400</v>
      </c>
      <c r="C111" s="1133">
        <v>0</v>
      </c>
    </row>
    <row r="112" spans="1:3" x14ac:dyDescent="0.25">
      <c r="A112" s="1131" t="s">
        <v>1703</v>
      </c>
      <c r="B112" s="1131" t="s">
        <v>1704</v>
      </c>
      <c r="C112" s="1133">
        <v>0</v>
      </c>
    </row>
    <row r="113" spans="1:3" x14ac:dyDescent="0.25">
      <c r="A113" s="1131" t="s">
        <v>1705</v>
      </c>
      <c r="B113" s="1131" t="s">
        <v>1706</v>
      </c>
      <c r="C113" s="1133">
        <v>0</v>
      </c>
    </row>
    <row r="114" spans="1:3" x14ac:dyDescent="0.25">
      <c r="A114" s="1131" t="s">
        <v>1707</v>
      </c>
      <c r="B114" s="1131" t="s">
        <v>236</v>
      </c>
      <c r="C114" s="1133">
        <v>0</v>
      </c>
    </row>
    <row r="115" spans="1:3" ht="24" x14ac:dyDescent="0.25">
      <c r="A115" s="1130" t="s">
        <v>1708</v>
      </c>
      <c r="B115" s="1130" t="s">
        <v>1709</v>
      </c>
      <c r="C115" s="1130"/>
    </row>
    <row r="116" spans="1:3" x14ac:dyDescent="0.25">
      <c r="A116" s="1616" t="s">
        <v>1710</v>
      </c>
      <c r="B116" s="1616" t="s">
        <v>1651</v>
      </c>
      <c r="C116" s="1138">
        <v>0</v>
      </c>
    </row>
    <row r="117" spans="1:3" x14ac:dyDescent="0.25">
      <c r="A117" s="1616"/>
      <c r="B117" s="1616"/>
      <c r="C117" s="1131" t="s">
        <v>1711</v>
      </c>
    </row>
    <row r="118" spans="1:3" x14ac:dyDescent="0.25">
      <c r="A118" s="1131" t="s">
        <v>1712</v>
      </c>
      <c r="B118" s="1131" t="s">
        <v>1653</v>
      </c>
      <c r="C118" s="1139">
        <v>0</v>
      </c>
    </row>
    <row r="119" spans="1:3" x14ac:dyDescent="0.25">
      <c r="A119" s="1131" t="s">
        <v>1713</v>
      </c>
      <c r="B119" s="1131" t="s">
        <v>1714</v>
      </c>
      <c r="C119" s="1133">
        <v>0</v>
      </c>
    </row>
    <row r="120" spans="1:3" x14ac:dyDescent="0.25">
      <c r="A120" s="1131" t="s">
        <v>1715</v>
      </c>
      <c r="B120" s="1131" t="s">
        <v>1657</v>
      </c>
      <c r="C120" s="1133">
        <v>0</v>
      </c>
    </row>
    <row r="121" spans="1:3" x14ac:dyDescent="0.25">
      <c r="A121" s="1131" t="s">
        <v>1716</v>
      </c>
      <c r="B121" s="1131" t="s">
        <v>1659</v>
      </c>
      <c r="C121" s="1133">
        <v>0</v>
      </c>
    </row>
    <row r="122" spans="1:3" x14ac:dyDescent="0.25">
      <c r="A122" s="1131" t="s">
        <v>1717</v>
      </c>
      <c r="B122" s="1131" t="s">
        <v>220</v>
      </c>
      <c r="C122" s="1133">
        <v>0</v>
      </c>
    </row>
    <row r="123" spans="1:3" ht="24" x14ac:dyDescent="0.25">
      <c r="A123" s="1131" t="s">
        <v>1718</v>
      </c>
      <c r="B123" s="1131" t="s">
        <v>1662</v>
      </c>
      <c r="C123" s="1133">
        <v>0</v>
      </c>
    </row>
    <row r="124" spans="1:3" x14ac:dyDescent="0.25">
      <c r="A124" s="1131" t="s">
        <v>1719</v>
      </c>
      <c r="B124" s="1131" t="s">
        <v>1664</v>
      </c>
      <c r="C124" s="1133">
        <v>0</v>
      </c>
    </row>
    <row r="125" spans="1:3" x14ac:dyDescent="0.25">
      <c r="A125" s="1131" t="s">
        <v>1720</v>
      </c>
      <c r="B125" s="1131" t="s">
        <v>1666</v>
      </c>
      <c r="C125" s="1133">
        <v>0</v>
      </c>
    </row>
    <row r="126" spans="1:3" x14ac:dyDescent="0.25">
      <c r="A126" s="1131" t="s">
        <v>1721</v>
      </c>
      <c r="B126" s="1131" t="s">
        <v>1668</v>
      </c>
      <c r="C126" s="1131" t="s">
        <v>1722</v>
      </c>
    </row>
    <row r="127" spans="1:3" x14ac:dyDescent="0.25">
      <c r="A127" s="1131" t="s">
        <v>1723</v>
      </c>
      <c r="B127" s="1131" t="s">
        <v>1670</v>
      </c>
      <c r="C127" s="1131"/>
    </row>
    <row r="128" spans="1:3" x14ac:dyDescent="0.25">
      <c r="A128" s="1131" t="s">
        <v>1724</v>
      </c>
      <c r="B128" s="1131" t="s">
        <v>1672</v>
      </c>
      <c r="C128" s="1131"/>
    </row>
    <row r="129" spans="1:3" x14ac:dyDescent="0.25">
      <c r="A129" s="1131" t="s">
        <v>1725</v>
      </c>
      <c r="B129" s="1131" t="s">
        <v>1674</v>
      </c>
      <c r="C129" s="1131"/>
    </row>
    <row r="130" spans="1:3" x14ac:dyDescent="0.25">
      <c r="A130" s="1130"/>
      <c r="B130" s="1130"/>
      <c r="C130" s="1130"/>
    </row>
    <row r="131" spans="1:3" ht="24" x14ac:dyDescent="0.25">
      <c r="A131" s="1130" t="s">
        <v>1726</v>
      </c>
      <c r="B131" s="1130" t="s">
        <v>1727</v>
      </c>
      <c r="C131" s="1131" t="s">
        <v>1728</v>
      </c>
    </row>
    <row r="132" spans="1:3" ht="24" x14ac:dyDescent="0.25">
      <c r="A132" s="1131" t="s">
        <v>1729</v>
      </c>
      <c r="B132" s="1131" t="s">
        <v>1730</v>
      </c>
      <c r="C132" s="1131"/>
    </row>
    <row r="133" spans="1:3" ht="24" x14ac:dyDescent="0.25">
      <c r="A133" s="1131" t="s">
        <v>1731</v>
      </c>
      <c r="B133" s="1131" t="s">
        <v>1732</v>
      </c>
      <c r="C133" s="1131"/>
    </row>
    <row r="134" spans="1:3" ht="24" x14ac:dyDescent="0.25">
      <c r="A134" s="1131" t="s">
        <v>1733</v>
      </c>
      <c r="B134" s="1131" t="s">
        <v>1734</v>
      </c>
      <c r="C134" s="1131"/>
    </row>
    <row r="135" spans="1:3" ht="24" x14ac:dyDescent="0.25">
      <c r="A135" s="1131" t="s">
        <v>1735</v>
      </c>
      <c r="B135" s="1131" t="s">
        <v>1736</v>
      </c>
      <c r="C135" s="1131"/>
    </row>
    <row r="136" spans="1:3" x14ac:dyDescent="0.25">
      <c r="A136" s="1130"/>
      <c r="B136" s="1130"/>
      <c r="C136" s="1130"/>
    </row>
    <row r="137" spans="1:3" x14ac:dyDescent="0.25">
      <c r="A137" s="1130"/>
      <c r="B137" s="1130" t="s">
        <v>1401</v>
      </c>
      <c r="C137" s="1135">
        <f>C53+C72</f>
        <v>36626099.670000002</v>
      </c>
    </row>
    <row r="138" spans="1:3" x14ac:dyDescent="0.25">
      <c r="A138" s="1130"/>
      <c r="B138" s="1130"/>
      <c r="C138" s="1130"/>
    </row>
    <row r="139" spans="1:3" x14ac:dyDescent="0.25">
      <c r="A139" s="1130">
        <v>2</v>
      </c>
      <c r="B139" s="1130" t="s">
        <v>1402</v>
      </c>
      <c r="C139" s="1131"/>
    </row>
    <row r="140" spans="1:3" x14ac:dyDescent="0.25">
      <c r="A140" s="1130"/>
      <c r="B140" s="1130"/>
      <c r="C140" s="1130"/>
    </row>
    <row r="141" spans="1:3" x14ac:dyDescent="0.25">
      <c r="A141" s="1130">
        <v>2.1</v>
      </c>
      <c r="B141" s="1130" t="s">
        <v>1403</v>
      </c>
      <c r="C141" s="1131"/>
    </row>
    <row r="142" spans="1:3" ht="36" x14ac:dyDescent="0.25">
      <c r="A142" s="1130" t="s">
        <v>1404</v>
      </c>
      <c r="B142" s="1130" t="s">
        <v>1405</v>
      </c>
      <c r="C142" s="1140" t="e">
        <f>SUM(C143:C147)</f>
        <v>#REF!</v>
      </c>
    </row>
    <row r="143" spans="1:3" x14ac:dyDescent="0.25">
      <c r="A143" s="1131" t="s">
        <v>1406</v>
      </c>
      <c r="B143" s="1131" t="s">
        <v>1407</v>
      </c>
      <c r="C143" s="1131"/>
    </row>
    <row r="144" spans="1:3" x14ac:dyDescent="0.25">
      <c r="A144" s="1131" t="s">
        <v>1408</v>
      </c>
      <c r="B144" s="1131" t="s">
        <v>1409</v>
      </c>
      <c r="C144" s="1171">
        <f>'CPCA-II-13'!F11</f>
        <v>9981996.7899999991</v>
      </c>
    </row>
    <row r="145" spans="1:3" x14ac:dyDescent="0.25">
      <c r="A145" s="1131" t="s">
        <v>1410</v>
      </c>
      <c r="B145" s="1131" t="s">
        <v>1411</v>
      </c>
      <c r="C145" s="1171">
        <f>'CPCA-II-13'!F27</f>
        <v>80188.36</v>
      </c>
    </row>
    <row r="146" spans="1:3" x14ac:dyDescent="0.25">
      <c r="A146" s="1131" t="s">
        <v>1412</v>
      </c>
      <c r="B146" s="1131" t="s">
        <v>1413</v>
      </c>
      <c r="C146" s="1171" t="e">
        <f>'CPCA-II-13'!#REF!</f>
        <v>#REF!</v>
      </c>
    </row>
    <row r="147" spans="1:3" x14ac:dyDescent="0.25">
      <c r="A147" s="1131" t="s">
        <v>1414</v>
      </c>
      <c r="B147" s="1131" t="s">
        <v>1415</v>
      </c>
      <c r="C147" s="1136"/>
    </row>
    <row r="148" spans="1:3" x14ac:dyDescent="0.25">
      <c r="A148" s="1130"/>
      <c r="B148" s="1130"/>
      <c r="C148" s="1130"/>
    </row>
    <row r="149" spans="1:3" x14ac:dyDescent="0.25">
      <c r="A149" s="1131"/>
      <c r="B149" s="1131"/>
      <c r="C149" s="1137" t="s">
        <v>1399</v>
      </c>
    </row>
    <row r="150" spans="1:3" ht="24" x14ac:dyDescent="0.25">
      <c r="A150" s="1131" t="s">
        <v>1737</v>
      </c>
      <c r="B150" s="1131" t="s">
        <v>1738</v>
      </c>
      <c r="C150" s="1133">
        <v>0</v>
      </c>
    </row>
    <row r="151" spans="1:3" x14ac:dyDescent="0.25">
      <c r="A151" s="1131" t="s">
        <v>1416</v>
      </c>
      <c r="B151" s="1131" t="s">
        <v>1400</v>
      </c>
      <c r="C151" s="1133">
        <v>0</v>
      </c>
    </row>
    <row r="152" spans="1:3" x14ac:dyDescent="0.25">
      <c r="A152" s="1131" t="s">
        <v>1739</v>
      </c>
      <c r="B152" s="1131" t="s">
        <v>1704</v>
      </c>
      <c r="C152" s="1133">
        <v>0</v>
      </c>
    </row>
    <row r="153" spans="1:3" x14ac:dyDescent="0.25">
      <c r="A153" s="1131"/>
      <c r="B153" s="1131"/>
      <c r="C153" s="1131"/>
    </row>
    <row r="154" spans="1:3" ht="36" x14ac:dyDescent="0.25">
      <c r="A154" s="1131" t="s">
        <v>1740</v>
      </c>
      <c r="B154" s="1131" t="s">
        <v>1741</v>
      </c>
      <c r="C154" s="1131"/>
    </row>
    <row r="155" spans="1:3" x14ac:dyDescent="0.25">
      <c r="A155" s="1130"/>
      <c r="B155" s="1130"/>
      <c r="C155" s="1130"/>
    </row>
    <row r="156" spans="1:3" ht="24" x14ac:dyDescent="0.25">
      <c r="A156" s="1130" t="s">
        <v>1742</v>
      </c>
      <c r="B156" s="1130" t="s">
        <v>1743</v>
      </c>
      <c r="C156" s="1141">
        <v>0</v>
      </c>
    </row>
    <row r="157" spans="1:3" x14ac:dyDescent="0.25">
      <c r="A157" s="1130"/>
      <c r="B157" s="1130"/>
      <c r="C157" s="1130"/>
    </row>
    <row r="158" spans="1:3" x14ac:dyDescent="0.25">
      <c r="A158" s="1130" t="s">
        <v>1744</v>
      </c>
      <c r="B158" s="1130" t="s">
        <v>1745</v>
      </c>
      <c r="C158" s="1130"/>
    </row>
    <row r="159" spans="1:3" x14ac:dyDescent="0.25">
      <c r="A159" s="1131" t="s">
        <v>1746</v>
      </c>
      <c r="B159" s="1131" t="s">
        <v>1631</v>
      </c>
      <c r="C159" s="1131"/>
    </row>
    <row r="160" spans="1:3" x14ac:dyDescent="0.25">
      <c r="A160" s="1131" t="s">
        <v>1747</v>
      </c>
      <c r="B160" s="1131" t="s">
        <v>1748</v>
      </c>
      <c r="C160" s="1133">
        <v>0</v>
      </c>
    </row>
    <row r="161" spans="1:3" x14ac:dyDescent="0.25">
      <c r="A161" s="1131" t="s">
        <v>1749</v>
      </c>
      <c r="B161" s="1131" t="s">
        <v>1750</v>
      </c>
      <c r="C161" s="1133">
        <v>0</v>
      </c>
    </row>
    <row r="162" spans="1:3" x14ac:dyDescent="0.25">
      <c r="A162" s="1131" t="s">
        <v>1751</v>
      </c>
      <c r="B162" s="1131" t="s">
        <v>1752</v>
      </c>
      <c r="C162" s="1133">
        <v>0</v>
      </c>
    </row>
    <row r="163" spans="1:3" x14ac:dyDescent="0.25">
      <c r="A163" s="1131" t="s">
        <v>1753</v>
      </c>
      <c r="B163" s="1131" t="s">
        <v>1637</v>
      </c>
      <c r="C163" s="1133">
        <v>0</v>
      </c>
    </row>
    <row r="164" spans="1:3" ht="24" x14ac:dyDescent="0.25">
      <c r="A164" s="1131" t="s">
        <v>1754</v>
      </c>
      <c r="B164" s="1131" t="s">
        <v>1755</v>
      </c>
      <c r="C164" s="1133">
        <v>0</v>
      </c>
    </row>
    <row r="165" spans="1:3" x14ac:dyDescent="0.25">
      <c r="A165" s="1130"/>
      <c r="B165" s="1130"/>
      <c r="C165" s="1130"/>
    </row>
    <row r="166" spans="1:3" ht="24" x14ac:dyDescent="0.25">
      <c r="A166" s="1130" t="s">
        <v>1756</v>
      </c>
      <c r="B166" s="1130" t="s">
        <v>1757</v>
      </c>
      <c r="C166" s="1130"/>
    </row>
    <row r="167" spans="1:3" x14ac:dyDescent="0.25">
      <c r="A167" s="1131" t="s">
        <v>1758</v>
      </c>
      <c r="B167" s="1131" t="s">
        <v>1759</v>
      </c>
      <c r="C167" s="1131"/>
    </row>
    <row r="168" spans="1:3" x14ac:dyDescent="0.25">
      <c r="A168" s="1131" t="s">
        <v>1760</v>
      </c>
      <c r="B168" s="1131" t="s">
        <v>1761</v>
      </c>
      <c r="C168" s="1133">
        <v>0</v>
      </c>
    </row>
    <row r="169" spans="1:3" x14ac:dyDescent="0.25">
      <c r="A169" s="1131" t="s">
        <v>1762</v>
      </c>
      <c r="B169" s="1131" t="s">
        <v>1763</v>
      </c>
      <c r="C169" s="1133">
        <v>0</v>
      </c>
    </row>
    <row r="170" spans="1:3" x14ac:dyDescent="0.25">
      <c r="A170" s="1131" t="s">
        <v>1764</v>
      </c>
      <c r="B170" s="1131" t="s">
        <v>1765</v>
      </c>
      <c r="C170" s="1131"/>
    </row>
    <row r="171" spans="1:3" x14ac:dyDescent="0.25">
      <c r="A171" s="1131" t="s">
        <v>1766</v>
      </c>
      <c r="B171" s="1131" t="s">
        <v>1767</v>
      </c>
      <c r="C171" s="1133">
        <v>0</v>
      </c>
    </row>
    <row r="172" spans="1:3" x14ac:dyDescent="0.25">
      <c r="A172" s="1131" t="s">
        <v>1768</v>
      </c>
      <c r="B172" s="1131" t="s">
        <v>1763</v>
      </c>
      <c r="C172" s="1133">
        <v>0</v>
      </c>
    </row>
    <row r="173" spans="1:3" x14ac:dyDescent="0.25">
      <c r="A173" s="1130"/>
      <c r="B173" s="1130"/>
      <c r="C173" s="1130"/>
    </row>
    <row r="174" spans="1:3" ht="24" x14ac:dyDescent="0.25">
      <c r="A174" s="1130" t="s">
        <v>1769</v>
      </c>
      <c r="B174" s="1130" t="s">
        <v>1770</v>
      </c>
      <c r="C174" s="1130"/>
    </row>
    <row r="175" spans="1:3" x14ac:dyDescent="0.25">
      <c r="A175" s="1130" t="s">
        <v>1771</v>
      </c>
      <c r="B175" s="1130" t="s">
        <v>1772</v>
      </c>
      <c r="C175" s="1131"/>
    </row>
    <row r="176" spans="1:3" x14ac:dyDescent="0.25">
      <c r="A176" s="1131" t="s">
        <v>1773</v>
      </c>
      <c r="B176" s="1131" t="s">
        <v>1774</v>
      </c>
      <c r="C176" s="1133">
        <v>0</v>
      </c>
    </row>
    <row r="177" spans="1:3" x14ac:dyDescent="0.25">
      <c r="A177" s="1131" t="s">
        <v>1775</v>
      </c>
      <c r="B177" s="1131" t="s">
        <v>1776</v>
      </c>
      <c r="C177" s="1133">
        <v>0</v>
      </c>
    </row>
    <row r="178" spans="1:3" x14ac:dyDescent="0.25">
      <c r="A178" s="1131" t="s">
        <v>1777</v>
      </c>
      <c r="B178" s="1131" t="s">
        <v>1778</v>
      </c>
      <c r="C178" s="1133">
        <v>0</v>
      </c>
    </row>
    <row r="179" spans="1:3" x14ac:dyDescent="0.25">
      <c r="A179" s="1131" t="s">
        <v>1779</v>
      </c>
      <c r="B179" s="1131" t="s">
        <v>1780</v>
      </c>
      <c r="C179" s="1133">
        <v>0</v>
      </c>
    </row>
    <row r="180" spans="1:3" x14ac:dyDescent="0.25">
      <c r="A180" s="1131" t="s">
        <v>1781</v>
      </c>
      <c r="B180" s="1131" t="s">
        <v>787</v>
      </c>
      <c r="C180" s="1133">
        <v>0</v>
      </c>
    </row>
    <row r="181" spans="1:3" x14ac:dyDescent="0.25">
      <c r="A181" s="1131" t="s">
        <v>1782</v>
      </c>
      <c r="B181" s="1131" t="s">
        <v>1783</v>
      </c>
      <c r="C181" s="1133">
        <v>0</v>
      </c>
    </row>
    <row r="182" spans="1:3" x14ac:dyDescent="0.25">
      <c r="A182" s="1131" t="s">
        <v>1784</v>
      </c>
      <c r="B182" s="1131" t="s">
        <v>1785</v>
      </c>
      <c r="C182" s="1133">
        <v>0</v>
      </c>
    </row>
    <row r="183" spans="1:3" x14ac:dyDescent="0.25">
      <c r="A183" s="1130"/>
      <c r="B183" s="1130"/>
      <c r="C183" s="1130"/>
    </row>
    <row r="184" spans="1:3" x14ac:dyDescent="0.25">
      <c r="A184" s="1130" t="s">
        <v>1786</v>
      </c>
      <c r="B184" s="1130" t="s">
        <v>1787</v>
      </c>
      <c r="C184" s="1131"/>
    </row>
    <row r="185" spans="1:3" x14ac:dyDescent="0.25">
      <c r="A185" s="1131" t="s">
        <v>1788</v>
      </c>
      <c r="B185" s="1131" t="s">
        <v>1789</v>
      </c>
      <c r="C185" s="1131"/>
    </row>
    <row r="186" spans="1:3" x14ac:dyDescent="0.25">
      <c r="A186" s="1131" t="s">
        <v>1790</v>
      </c>
      <c r="B186" s="1131" t="s">
        <v>1657</v>
      </c>
      <c r="C186" s="1133">
        <v>0</v>
      </c>
    </row>
    <row r="187" spans="1:3" x14ac:dyDescent="0.25">
      <c r="A187" s="1131" t="s">
        <v>1791</v>
      </c>
      <c r="B187" s="1131" t="s">
        <v>1659</v>
      </c>
      <c r="C187" s="1133">
        <v>0</v>
      </c>
    </row>
    <row r="188" spans="1:3" x14ac:dyDescent="0.25">
      <c r="A188" s="1131" t="s">
        <v>1792</v>
      </c>
      <c r="B188" s="1131" t="s">
        <v>1793</v>
      </c>
      <c r="C188" s="1133">
        <v>0</v>
      </c>
    </row>
    <row r="189" spans="1:3" ht="24" x14ac:dyDescent="0.25">
      <c r="A189" s="1131" t="s">
        <v>1794</v>
      </c>
      <c r="B189" s="1131" t="s">
        <v>1662</v>
      </c>
      <c r="C189" s="1133">
        <v>0</v>
      </c>
    </row>
    <row r="190" spans="1:3" x14ac:dyDescent="0.25">
      <c r="A190" s="1131" t="s">
        <v>1795</v>
      </c>
      <c r="B190" s="1131" t="s">
        <v>1796</v>
      </c>
      <c r="C190" s="1133">
        <v>0</v>
      </c>
    </row>
    <row r="191" spans="1:3" x14ac:dyDescent="0.25">
      <c r="A191" s="1131" t="s">
        <v>1797</v>
      </c>
      <c r="B191" s="1131" t="s">
        <v>1798</v>
      </c>
      <c r="C191" s="1131"/>
    </row>
    <row r="192" spans="1:3" x14ac:dyDescent="0.25">
      <c r="A192" s="1131" t="s">
        <v>1799</v>
      </c>
      <c r="B192" s="1131" t="s">
        <v>1800</v>
      </c>
      <c r="C192" s="1133">
        <v>0</v>
      </c>
    </row>
    <row r="193" spans="1:3" x14ac:dyDescent="0.25">
      <c r="A193" s="1131" t="s">
        <v>1801</v>
      </c>
      <c r="B193" s="1131" t="s">
        <v>1802</v>
      </c>
      <c r="C193" s="1133">
        <v>0</v>
      </c>
    </row>
    <row r="194" spans="1:3" x14ac:dyDescent="0.25">
      <c r="A194" s="1131" t="s">
        <v>1803</v>
      </c>
      <c r="B194" s="1131" t="s">
        <v>1804</v>
      </c>
      <c r="C194" s="1133">
        <v>0</v>
      </c>
    </row>
    <row r="195" spans="1:3" x14ac:dyDescent="0.25">
      <c r="A195" s="1131" t="s">
        <v>1805</v>
      </c>
      <c r="B195" s="1131" t="s">
        <v>1806</v>
      </c>
      <c r="C195" s="1133">
        <v>0</v>
      </c>
    </row>
    <row r="196" spans="1:3" x14ac:dyDescent="0.25">
      <c r="A196" s="1130"/>
      <c r="B196" s="1130"/>
      <c r="C196" s="1130"/>
    </row>
    <row r="197" spans="1:3" ht="36" x14ac:dyDescent="0.25">
      <c r="A197" s="1130" t="s">
        <v>1807</v>
      </c>
      <c r="B197" s="1130" t="s">
        <v>1808</v>
      </c>
      <c r="C197" s="1130"/>
    </row>
    <row r="198" spans="1:3" x14ac:dyDescent="0.25">
      <c r="A198" s="1130"/>
      <c r="B198" s="1130"/>
      <c r="C198" s="1130"/>
    </row>
    <row r="199" spans="1:3" x14ac:dyDescent="0.25">
      <c r="A199" s="1130" t="s">
        <v>1809</v>
      </c>
      <c r="B199" s="1130" t="s">
        <v>226</v>
      </c>
      <c r="C199" s="1133">
        <v>0</v>
      </c>
    </row>
    <row r="200" spans="1:3" x14ac:dyDescent="0.25">
      <c r="A200" s="1130"/>
      <c r="B200" s="1130"/>
      <c r="C200" s="1130"/>
    </row>
    <row r="201" spans="1:3" x14ac:dyDescent="0.25">
      <c r="A201" s="1130" t="s">
        <v>1810</v>
      </c>
      <c r="B201" s="1130" t="s">
        <v>1811</v>
      </c>
      <c r="C201" s="1137" t="s">
        <v>1399</v>
      </c>
    </row>
    <row r="202" spans="1:3" x14ac:dyDescent="0.25">
      <c r="A202" s="1131" t="s">
        <v>1812</v>
      </c>
      <c r="B202" s="1131" t="s">
        <v>40</v>
      </c>
      <c r="C202" s="1133">
        <v>0</v>
      </c>
    </row>
    <row r="203" spans="1:3" x14ac:dyDescent="0.25">
      <c r="A203" s="1131" t="s">
        <v>1813</v>
      </c>
      <c r="B203" s="1131" t="s">
        <v>57</v>
      </c>
      <c r="C203" s="1133">
        <v>0</v>
      </c>
    </row>
    <row r="204" spans="1:3" ht="24" x14ac:dyDescent="0.25">
      <c r="A204" s="1131" t="s">
        <v>1814</v>
      </c>
      <c r="B204" s="1131" t="s">
        <v>1815</v>
      </c>
      <c r="C204" s="1133">
        <v>0</v>
      </c>
    </row>
    <row r="205" spans="1:3" ht="24" x14ac:dyDescent="0.25">
      <c r="A205" s="1131" t="s">
        <v>1816</v>
      </c>
      <c r="B205" s="1131" t="s">
        <v>1817</v>
      </c>
      <c r="C205" s="1133">
        <v>0</v>
      </c>
    </row>
    <row r="206" spans="1:3" x14ac:dyDescent="0.25">
      <c r="A206" s="1130"/>
      <c r="B206" s="1130"/>
      <c r="C206" s="1130"/>
    </row>
    <row r="207" spans="1:3" x14ac:dyDescent="0.25">
      <c r="A207" s="1130">
        <v>2.2000000000000002</v>
      </c>
      <c r="B207" s="1130" t="s">
        <v>1417</v>
      </c>
      <c r="C207" s="1131"/>
    </row>
    <row r="208" spans="1:3" x14ac:dyDescent="0.25">
      <c r="A208" s="1130"/>
      <c r="B208" s="1130"/>
      <c r="C208" s="1130"/>
    </row>
    <row r="209" spans="1:3" x14ac:dyDescent="0.25">
      <c r="A209" s="1130" t="s">
        <v>1418</v>
      </c>
      <c r="B209" s="1130" t="s">
        <v>1419</v>
      </c>
      <c r="C209" s="1133">
        <v>0</v>
      </c>
    </row>
    <row r="210" spans="1:3" x14ac:dyDescent="0.25">
      <c r="A210" s="1130" t="s">
        <v>1420</v>
      </c>
      <c r="B210" s="1130" t="s">
        <v>1421</v>
      </c>
      <c r="C210" s="1142" t="e">
        <f>SUM(C215:C218)</f>
        <v>#REF!</v>
      </c>
    </row>
    <row r="211" spans="1:3" x14ac:dyDescent="0.25">
      <c r="A211" s="1131" t="s">
        <v>1818</v>
      </c>
      <c r="B211" s="1131" t="s">
        <v>1819</v>
      </c>
      <c r="C211" s="1131"/>
    </row>
    <row r="212" spans="1:3" x14ac:dyDescent="0.25">
      <c r="A212" s="1131" t="s">
        <v>1820</v>
      </c>
      <c r="B212" s="1131" t="s">
        <v>1821</v>
      </c>
      <c r="C212" s="1133">
        <v>0</v>
      </c>
    </row>
    <row r="213" spans="1:3" x14ac:dyDescent="0.25">
      <c r="A213" s="1131" t="s">
        <v>1822</v>
      </c>
      <c r="B213" s="1131" t="s">
        <v>1823</v>
      </c>
      <c r="C213" s="1133">
        <v>0</v>
      </c>
    </row>
    <row r="214" spans="1:3" x14ac:dyDescent="0.25">
      <c r="A214" s="1131" t="s">
        <v>1824</v>
      </c>
      <c r="B214" s="1131" t="s">
        <v>1825</v>
      </c>
      <c r="C214" s="1133">
        <v>0</v>
      </c>
    </row>
    <row r="215" spans="1:3" x14ac:dyDescent="0.25">
      <c r="A215" s="1131" t="s">
        <v>1422</v>
      </c>
      <c r="B215" s="1131" t="s">
        <v>1423</v>
      </c>
      <c r="C215" s="1172" t="e">
        <f>'CPCA-II-13'!#REF!+'CPCA-II-13'!#REF!</f>
        <v>#REF!</v>
      </c>
    </row>
    <row r="216" spans="1:3" x14ac:dyDescent="0.25">
      <c r="A216" s="1131" t="s">
        <v>1424</v>
      </c>
      <c r="B216" s="1131" t="s">
        <v>1425</v>
      </c>
      <c r="C216" s="1133">
        <v>0</v>
      </c>
    </row>
    <row r="217" spans="1:3" ht="24" x14ac:dyDescent="0.25">
      <c r="A217" s="1131" t="s">
        <v>1426</v>
      </c>
      <c r="B217" s="1131" t="s">
        <v>1427</v>
      </c>
      <c r="C217" s="1171" t="e">
        <f>'CPCA-II-13'!#REF!</f>
        <v>#REF!</v>
      </c>
    </row>
    <row r="218" spans="1:3" x14ac:dyDescent="0.25">
      <c r="A218" s="1131" t="s">
        <v>1428</v>
      </c>
      <c r="B218" s="1131" t="s">
        <v>1429</v>
      </c>
      <c r="C218" s="1171" t="e">
        <f>'CPCA-II-13'!#REF!+'CPCA-II-13'!#REF!+'CPCA-II-13'!#REF!</f>
        <v>#REF!</v>
      </c>
    </row>
    <row r="219" spans="1:3" x14ac:dyDescent="0.25">
      <c r="A219" s="1131" t="s">
        <v>1430</v>
      </c>
      <c r="B219" s="1131" t="s">
        <v>1431</v>
      </c>
      <c r="C219" s="1133">
        <v>0</v>
      </c>
    </row>
    <row r="220" spans="1:3" x14ac:dyDescent="0.25">
      <c r="A220" s="1131" t="s">
        <v>1826</v>
      </c>
      <c r="B220" s="1131" t="s">
        <v>1827</v>
      </c>
      <c r="C220" s="1131"/>
    </row>
    <row r="221" spans="1:3" ht="24" x14ac:dyDescent="0.25">
      <c r="A221" s="1131" t="s">
        <v>1828</v>
      </c>
      <c r="B221" s="1131" t="s">
        <v>1829</v>
      </c>
      <c r="C221" s="1133">
        <v>0</v>
      </c>
    </row>
    <row r="222" spans="1:3" ht="24" x14ac:dyDescent="0.25">
      <c r="A222" s="1131" t="s">
        <v>1830</v>
      </c>
      <c r="B222" s="1131" t="s">
        <v>1831</v>
      </c>
      <c r="C222" s="1133">
        <v>0</v>
      </c>
    </row>
    <row r="223" spans="1:3" x14ac:dyDescent="0.25">
      <c r="A223" s="1131" t="s">
        <v>1832</v>
      </c>
      <c r="B223" s="1131" t="s">
        <v>1833</v>
      </c>
      <c r="C223" s="1131" t="s">
        <v>245</v>
      </c>
    </row>
    <row r="224" spans="1:3" x14ac:dyDescent="0.25">
      <c r="A224" s="1131" t="s">
        <v>1834</v>
      </c>
      <c r="B224" s="1131" t="s">
        <v>1835</v>
      </c>
      <c r="C224" s="1131"/>
    </row>
    <row r="225" spans="1:3" x14ac:dyDescent="0.25">
      <c r="A225" s="1131" t="s">
        <v>1836</v>
      </c>
      <c r="B225" s="1131" t="s">
        <v>1837</v>
      </c>
      <c r="C225" s="1131"/>
    </row>
    <row r="226" spans="1:3" x14ac:dyDescent="0.25">
      <c r="A226" s="1131" t="s">
        <v>1838</v>
      </c>
      <c r="B226" s="1131" t="s">
        <v>1839</v>
      </c>
      <c r="C226" s="1133">
        <v>0</v>
      </c>
    </row>
    <row r="227" spans="1:3" ht="24" x14ac:dyDescent="0.25">
      <c r="A227" s="1131" t="s">
        <v>1840</v>
      </c>
      <c r="B227" s="1131" t="s">
        <v>1841</v>
      </c>
      <c r="C227" s="1131"/>
    </row>
    <row r="228" spans="1:3" x14ac:dyDescent="0.25">
      <c r="A228" s="1131" t="s">
        <v>1842</v>
      </c>
      <c r="B228" s="1131" t="s">
        <v>1843</v>
      </c>
      <c r="C228" s="1133">
        <v>0</v>
      </c>
    </row>
    <row r="229" spans="1:3" x14ac:dyDescent="0.25">
      <c r="A229" s="1130"/>
      <c r="B229" s="1130"/>
      <c r="C229" s="1130"/>
    </row>
    <row r="230" spans="1:3" x14ac:dyDescent="0.25">
      <c r="A230" s="1131" t="s">
        <v>1844</v>
      </c>
      <c r="B230" s="1130" t="s">
        <v>1845</v>
      </c>
      <c r="C230" s="1137" t="s">
        <v>1399</v>
      </c>
    </row>
    <row r="231" spans="1:3" x14ac:dyDescent="0.25">
      <c r="A231" s="1131" t="s">
        <v>1846</v>
      </c>
      <c r="B231" s="1131" t="s">
        <v>214</v>
      </c>
      <c r="C231" s="1133">
        <v>0</v>
      </c>
    </row>
    <row r="232" spans="1:3" x14ac:dyDescent="0.25">
      <c r="A232" s="1131" t="s">
        <v>1847</v>
      </c>
      <c r="B232" s="1131" t="s">
        <v>1689</v>
      </c>
      <c r="C232" s="1131"/>
    </row>
    <row r="233" spans="1:3" x14ac:dyDescent="0.25">
      <c r="A233" s="1131" t="s">
        <v>1848</v>
      </c>
      <c r="B233" s="1131" t="s">
        <v>1691</v>
      </c>
      <c r="C233" s="1133">
        <v>0</v>
      </c>
    </row>
    <row r="234" spans="1:3" x14ac:dyDescent="0.25">
      <c r="A234" s="1131" t="s">
        <v>1849</v>
      </c>
      <c r="B234" s="1131" t="s">
        <v>1693</v>
      </c>
      <c r="C234" s="1133">
        <v>0</v>
      </c>
    </row>
    <row r="235" spans="1:3" x14ac:dyDescent="0.25">
      <c r="A235" s="1131" t="s">
        <v>1850</v>
      </c>
      <c r="B235" s="1131" t="s">
        <v>1851</v>
      </c>
      <c r="C235" s="1133">
        <v>0</v>
      </c>
    </row>
    <row r="236" spans="1:3" x14ac:dyDescent="0.25">
      <c r="A236" s="1131" t="s">
        <v>1852</v>
      </c>
      <c r="B236" s="1131" t="s">
        <v>1853</v>
      </c>
      <c r="C236" s="1131"/>
    </row>
    <row r="237" spans="1:3" ht="24" x14ac:dyDescent="0.25">
      <c r="A237" s="1131" t="s">
        <v>1854</v>
      </c>
      <c r="B237" s="1131" t="s">
        <v>1855</v>
      </c>
      <c r="C237" s="1133">
        <v>0</v>
      </c>
    </row>
    <row r="238" spans="1:3" x14ac:dyDescent="0.25">
      <c r="A238" s="1130"/>
      <c r="B238" s="1130"/>
      <c r="C238" s="1130"/>
    </row>
    <row r="239" spans="1:3" x14ac:dyDescent="0.25">
      <c r="A239" s="1130" t="s">
        <v>1856</v>
      </c>
      <c r="B239" s="1130" t="s">
        <v>1857</v>
      </c>
      <c r="C239" s="1131"/>
    </row>
    <row r="240" spans="1:3" x14ac:dyDescent="0.25">
      <c r="A240" s="1131" t="s">
        <v>1858</v>
      </c>
      <c r="B240" s="1131" t="s">
        <v>1859</v>
      </c>
      <c r="C240" s="1133">
        <v>0</v>
      </c>
    </row>
    <row r="241" spans="1:3" x14ac:dyDescent="0.25">
      <c r="A241" s="1131" t="s">
        <v>1860</v>
      </c>
      <c r="B241" s="1131" t="s">
        <v>1861</v>
      </c>
      <c r="C241" s="1133">
        <v>0</v>
      </c>
    </row>
    <row r="242" spans="1:3" x14ac:dyDescent="0.25">
      <c r="A242" s="1131" t="s">
        <v>1862</v>
      </c>
      <c r="B242" s="1131" t="s">
        <v>1863</v>
      </c>
      <c r="C242" s="1131"/>
    </row>
    <row r="243" spans="1:3" x14ac:dyDescent="0.25">
      <c r="A243" s="1130"/>
      <c r="B243" s="1130"/>
      <c r="C243" s="1130"/>
    </row>
    <row r="244" spans="1:3" x14ac:dyDescent="0.25">
      <c r="A244" s="1130" t="s">
        <v>1864</v>
      </c>
      <c r="B244" s="1130" t="s">
        <v>1865</v>
      </c>
      <c r="C244" s="1131"/>
    </row>
    <row r="245" spans="1:3" ht="24" x14ac:dyDescent="0.25">
      <c r="A245" s="1131" t="s">
        <v>1866</v>
      </c>
      <c r="B245" s="1131" t="s">
        <v>1867</v>
      </c>
      <c r="C245" s="1131"/>
    </row>
    <row r="246" spans="1:3" x14ac:dyDescent="0.25">
      <c r="A246" s="1131" t="s">
        <v>1868</v>
      </c>
      <c r="B246" s="1131" t="s">
        <v>1869</v>
      </c>
      <c r="C246" s="1133">
        <v>0</v>
      </c>
    </row>
    <row r="247" spans="1:3" x14ac:dyDescent="0.25">
      <c r="A247" s="1131" t="s">
        <v>1870</v>
      </c>
      <c r="B247" s="1131" t="s">
        <v>1871</v>
      </c>
      <c r="C247" s="1131"/>
    </row>
    <row r="248" spans="1:3" x14ac:dyDescent="0.25">
      <c r="A248" s="1131" t="s">
        <v>1872</v>
      </c>
      <c r="B248" s="1131" t="s">
        <v>1873</v>
      </c>
      <c r="C248" s="1131"/>
    </row>
    <row r="249" spans="1:3" x14ac:dyDescent="0.25">
      <c r="A249" s="1131" t="s">
        <v>1874</v>
      </c>
      <c r="B249" s="1131" t="s">
        <v>1875</v>
      </c>
      <c r="C249" s="1131"/>
    </row>
    <row r="250" spans="1:3" x14ac:dyDescent="0.25">
      <c r="A250" s="1131" t="s">
        <v>1876</v>
      </c>
      <c r="B250" s="1131" t="s">
        <v>1877</v>
      </c>
      <c r="C250" s="1131"/>
    </row>
    <row r="251" spans="1:3" ht="24" x14ac:dyDescent="0.25">
      <c r="A251" s="1131" t="s">
        <v>1878</v>
      </c>
      <c r="B251" s="1131" t="s">
        <v>1879</v>
      </c>
      <c r="C251" s="1133">
        <v>0</v>
      </c>
    </row>
    <row r="252" spans="1:3" x14ac:dyDescent="0.25">
      <c r="A252" s="1131" t="s">
        <v>1880</v>
      </c>
      <c r="B252" s="1131" t="s">
        <v>1881</v>
      </c>
      <c r="C252" s="1131"/>
    </row>
    <row r="253" spans="1:3" x14ac:dyDescent="0.25">
      <c r="A253" s="1131" t="s">
        <v>1882</v>
      </c>
      <c r="B253" s="1131" t="s">
        <v>1883</v>
      </c>
      <c r="C253" s="1131"/>
    </row>
    <row r="254" spans="1:3" x14ac:dyDescent="0.25">
      <c r="A254" s="1131" t="s">
        <v>1884</v>
      </c>
      <c r="B254" s="1131" t="s">
        <v>1885</v>
      </c>
      <c r="C254" s="1131"/>
    </row>
    <row r="255" spans="1:3" x14ac:dyDescent="0.25">
      <c r="A255" s="1131" t="s">
        <v>1886</v>
      </c>
      <c r="B255" s="1131" t="s">
        <v>1887</v>
      </c>
      <c r="C255" s="1131"/>
    </row>
    <row r="256" spans="1:3" x14ac:dyDescent="0.25">
      <c r="A256" s="1130"/>
      <c r="B256" s="1130"/>
      <c r="C256" s="1130"/>
    </row>
    <row r="257" spans="1:3" ht="24" x14ac:dyDescent="0.25">
      <c r="A257" s="1130" t="s">
        <v>1888</v>
      </c>
      <c r="B257" s="1130" t="s">
        <v>1889</v>
      </c>
      <c r="C257" s="1130"/>
    </row>
    <row r="258" spans="1:3" x14ac:dyDescent="0.25">
      <c r="A258" s="1131" t="s">
        <v>1890</v>
      </c>
      <c r="B258" s="1131" t="s">
        <v>1772</v>
      </c>
      <c r="C258" s="1131"/>
    </row>
    <row r="259" spans="1:3" x14ac:dyDescent="0.25">
      <c r="A259" s="1131" t="s">
        <v>1891</v>
      </c>
      <c r="B259" s="1131" t="s">
        <v>1774</v>
      </c>
      <c r="C259" s="1133">
        <v>0</v>
      </c>
    </row>
    <row r="260" spans="1:3" x14ac:dyDescent="0.25">
      <c r="A260" s="1131" t="s">
        <v>1892</v>
      </c>
      <c r="B260" s="1131" t="s">
        <v>1778</v>
      </c>
      <c r="C260" s="1133">
        <v>0</v>
      </c>
    </row>
    <row r="261" spans="1:3" x14ac:dyDescent="0.25">
      <c r="A261" s="1131" t="s">
        <v>1893</v>
      </c>
      <c r="B261" s="1131" t="s">
        <v>1780</v>
      </c>
      <c r="C261" s="1133">
        <v>0</v>
      </c>
    </row>
    <row r="262" spans="1:3" x14ac:dyDescent="0.25">
      <c r="A262" s="1131" t="s">
        <v>1894</v>
      </c>
      <c r="B262" s="1131" t="s">
        <v>787</v>
      </c>
      <c r="C262" s="1133">
        <v>0</v>
      </c>
    </row>
    <row r="263" spans="1:3" x14ac:dyDescent="0.25">
      <c r="A263" s="1131" t="s">
        <v>1895</v>
      </c>
      <c r="B263" s="1131" t="s">
        <v>1787</v>
      </c>
      <c r="C263" s="1131"/>
    </row>
    <row r="264" spans="1:3" x14ac:dyDescent="0.25">
      <c r="A264" s="1131" t="s">
        <v>1896</v>
      </c>
      <c r="B264" s="1131" t="s">
        <v>1789</v>
      </c>
      <c r="C264" s="1131"/>
    </row>
    <row r="265" spans="1:3" x14ac:dyDescent="0.25">
      <c r="A265" s="1131" t="s">
        <v>1897</v>
      </c>
      <c r="B265" s="1131" t="s">
        <v>1657</v>
      </c>
      <c r="C265" s="1133">
        <v>0</v>
      </c>
    </row>
    <row r="266" spans="1:3" x14ac:dyDescent="0.25">
      <c r="A266" s="1131" t="s">
        <v>1898</v>
      </c>
      <c r="B266" s="1131" t="s">
        <v>1899</v>
      </c>
      <c r="C266" s="1133">
        <v>0</v>
      </c>
    </row>
    <row r="267" spans="1:3" ht="24" x14ac:dyDescent="0.25">
      <c r="A267" s="1131" t="s">
        <v>1900</v>
      </c>
      <c r="B267" s="1131" t="s">
        <v>1901</v>
      </c>
      <c r="C267" s="1133">
        <v>0</v>
      </c>
    </row>
    <row r="268" spans="1:3" x14ac:dyDescent="0.25">
      <c r="A268" s="1131" t="s">
        <v>1902</v>
      </c>
      <c r="B268" s="1131" t="s">
        <v>1796</v>
      </c>
      <c r="C268" s="1131"/>
    </row>
    <row r="269" spans="1:3" x14ac:dyDescent="0.25">
      <c r="A269" s="1131" t="s">
        <v>1903</v>
      </c>
      <c r="B269" s="1131" t="s">
        <v>1798</v>
      </c>
      <c r="C269" s="1131"/>
    </row>
    <row r="270" spans="1:3" x14ac:dyDescent="0.25">
      <c r="A270" s="1131" t="s">
        <v>1904</v>
      </c>
      <c r="B270" s="1131" t="s">
        <v>1800</v>
      </c>
      <c r="C270" s="1131"/>
    </row>
    <row r="271" spans="1:3" x14ac:dyDescent="0.25">
      <c r="A271" s="1131" t="s">
        <v>1905</v>
      </c>
      <c r="B271" s="1131" t="s">
        <v>1802</v>
      </c>
      <c r="C271" s="1133">
        <v>0</v>
      </c>
    </row>
    <row r="272" spans="1:3" x14ac:dyDescent="0.25">
      <c r="A272" s="1131" t="s">
        <v>1906</v>
      </c>
      <c r="B272" s="1131" t="s">
        <v>1804</v>
      </c>
      <c r="C272" s="1133">
        <v>0</v>
      </c>
    </row>
    <row r="273" spans="1:3" x14ac:dyDescent="0.25">
      <c r="A273" s="1131" t="s">
        <v>1907</v>
      </c>
      <c r="B273" s="1131" t="s">
        <v>1806</v>
      </c>
      <c r="C273" s="1133">
        <v>0</v>
      </c>
    </row>
    <row r="274" spans="1:3" x14ac:dyDescent="0.25">
      <c r="A274" s="1130"/>
      <c r="B274" s="1130"/>
      <c r="C274" s="1130"/>
    </row>
    <row r="275" spans="1:3" ht="24" x14ac:dyDescent="0.25">
      <c r="A275" s="1130" t="s">
        <v>1908</v>
      </c>
      <c r="B275" s="1130" t="s">
        <v>1909</v>
      </c>
      <c r="C275" s="1131"/>
    </row>
    <row r="276" spans="1:3" x14ac:dyDescent="0.25">
      <c r="A276" s="1131" t="s">
        <v>1910</v>
      </c>
      <c r="B276" s="1131" t="s">
        <v>516</v>
      </c>
      <c r="C276" s="1131"/>
    </row>
    <row r="277" spans="1:3" x14ac:dyDescent="0.25">
      <c r="A277" s="1131" t="s">
        <v>1911</v>
      </c>
      <c r="B277" s="1131" t="s">
        <v>1912</v>
      </c>
      <c r="C277" s="1131"/>
    </row>
    <row r="278" spans="1:3" x14ac:dyDescent="0.25">
      <c r="A278" s="1131" t="s">
        <v>1913</v>
      </c>
      <c r="B278" s="1131" t="s">
        <v>1914</v>
      </c>
      <c r="C278" s="1133">
        <v>0</v>
      </c>
    </row>
    <row r="279" spans="1:3" x14ac:dyDescent="0.25">
      <c r="A279" s="1131" t="s">
        <v>1915</v>
      </c>
      <c r="B279" s="1131" t="s">
        <v>1916</v>
      </c>
      <c r="C279" s="1133">
        <v>0</v>
      </c>
    </row>
    <row r="280" spans="1:3" x14ac:dyDescent="0.25">
      <c r="A280" s="1131" t="s">
        <v>1917</v>
      </c>
      <c r="B280" s="1131" t="s">
        <v>1918</v>
      </c>
      <c r="C280" s="1133">
        <v>0</v>
      </c>
    </row>
    <row r="281" spans="1:3" ht="24" x14ac:dyDescent="0.25">
      <c r="A281" s="1131" t="s">
        <v>1919</v>
      </c>
      <c r="B281" s="1131" t="s">
        <v>1920</v>
      </c>
      <c r="C281" s="1133">
        <v>0</v>
      </c>
    </row>
    <row r="282" spans="1:3" ht="24" x14ac:dyDescent="0.25">
      <c r="A282" s="1131" t="s">
        <v>1921</v>
      </c>
      <c r="B282" s="1131" t="s">
        <v>1922</v>
      </c>
      <c r="C282" s="1131"/>
    </row>
    <row r="283" spans="1:3" x14ac:dyDescent="0.25">
      <c r="A283" s="1131" t="s">
        <v>1923</v>
      </c>
      <c r="B283" s="1131" t="s">
        <v>518</v>
      </c>
      <c r="C283" s="1131"/>
    </row>
    <row r="284" spans="1:3" x14ac:dyDescent="0.25">
      <c r="A284" s="1131" t="s">
        <v>1924</v>
      </c>
      <c r="B284" s="1131" t="s">
        <v>1912</v>
      </c>
      <c r="C284" s="1131"/>
    </row>
    <row r="285" spans="1:3" x14ac:dyDescent="0.25">
      <c r="A285" s="1131" t="s">
        <v>1925</v>
      </c>
      <c r="B285" s="1131" t="s">
        <v>1914</v>
      </c>
      <c r="C285" s="1133">
        <v>0</v>
      </c>
    </row>
    <row r="286" spans="1:3" x14ac:dyDescent="0.25">
      <c r="A286" s="1131" t="s">
        <v>1926</v>
      </c>
      <c r="B286" s="1131" t="s">
        <v>1916</v>
      </c>
      <c r="C286" s="1133">
        <v>0</v>
      </c>
    </row>
    <row r="287" spans="1:3" x14ac:dyDescent="0.25">
      <c r="A287" s="1131" t="s">
        <v>1927</v>
      </c>
      <c r="B287" s="1131" t="s">
        <v>1918</v>
      </c>
      <c r="C287" s="1133">
        <v>0</v>
      </c>
    </row>
    <row r="288" spans="1:3" x14ac:dyDescent="0.25">
      <c r="A288" s="1130"/>
      <c r="B288" s="1130"/>
      <c r="C288" s="1130"/>
    </row>
    <row r="289" spans="1:3" x14ac:dyDescent="0.25">
      <c r="A289" s="1130"/>
      <c r="B289" s="1130" t="s">
        <v>1432</v>
      </c>
      <c r="C289" s="1135" t="e">
        <f>C144+C145+C146+C147+C217+C218</f>
        <v>#REF!</v>
      </c>
    </row>
    <row r="290" spans="1:3" x14ac:dyDescent="0.25">
      <c r="A290" s="1130"/>
      <c r="B290" s="1130"/>
      <c r="C290" s="1130"/>
    </row>
    <row r="291" spans="1:3" x14ac:dyDescent="0.25">
      <c r="A291" s="1130"/>
      <c r="B291" s="1130"/>
      <c r="C291" s="1131"/>
    </row>
    <row r="292" spans="1:3" x14ac:dyDescent="0.25">
      <c r="A292" s="1130"/>
      <c r="B292" s="1130"/>
      <c r="C292" s="1130"/>
    </row>
    <row r="293" spans="1:3" x14ac:dyDescent="0.25">
      <c r="A293" s="1130">
        <v>3</v>
      </c>
      <c r="B293" s="1130" t="s">
        <v>1433</v>
      </c>
      <c r="C293" s="1131"/>
    </row>
    <row r="294" spans="1:3" x14ac:dyDescent="0.25">
      <c r="A294" s="1130"/>
      <c r="B294" s="1130"/>
      <c r="C294" s="1131"/>
    </row>
    <row r="295" spans="1:3" x14ac:dyDescent="0.25">
      <c r="A295" s="1130">
        <v>3.1</v>
      </c>
      <c r="B295" s="1130" t="s">
        <v>1434</v>
      </c>
      <c r="C295" s="1131"/>
    </row>
    <row r="296" spans="1:3" x14ac:dyDescent="0.25">
      <c r="A296" s="1130"/>
      <c r="B296" s="1130"/>
      <c r="C296" s="1130"/>
    </row>
    <row r="297" spans="1:3" x14ac:dyDescent="0.25">
      <c r="A297" s="1130" t="s">
        <v>1435</v>
      </c>
      <c r="B297" s="1130" t="s">
        <v>1436</v>
      </c>
      <c r="C297" s="1131"/>
    </row>
    <row r="298" spans="1:3" ht="24" x14ac:dyDescent="0.25">
      <c r="A298" s="1131" t="s">
        <v>1437</v>
      </c>
      <c r="B298" s="1131" t="s">
        <v>1438</v>
      </c>
      <c r="C298" s="1131"/>
    </row>
    <row r="299" spans="1:3" ht="42.75" customHeight="1" x14ac:dyDescent="0.25">
      <c r="A299" s="1131" t="s">
        <v>1439</v>
      </c>
      <c r="B299" s="1131" t="s">
        <v>1440</v>
      </c>
      <c r="C299" s="1144" t="s">
        <v>1441</v>
      </c>
    </row>
    <row r="300" spans="1:3" x14ac:dyDescent="0.25">
      <c r="A300" s="1131" t="s">
        <v>1442</v>
      </c>
      <c r="B300" s="1131" t="s">
        <v>1443</v>
      </c>
      <c r="C300" s="1145">
        <f>('CPCA-I-02'!B10-'CPCA-I-02'!C10)*-1</f>
        <v>-4.9900000000000091</v>
      </c>
    </row>
    <row r="301" spans="1:3" x14ac:dyDescent="0.25">
      <c r="A301" s="1131" t="s">
        <v>1444</v>
      </c>
      <c r="B301" s="1131" t="s">
        <v>1445</v>
      </c>
      <c r="C301" s="1146">
        <f>('CPCA-I-02'!B11-'CPCA-I-02'!C11)*-1</f>
        <v>-990316.10999999987</v>
      </c>
    </row>
    <row r="302" spans="1:3" x14ac:dyDescent="0.25">
      <c r="A302" s="1131" t="s">
        <v>1446</v>
      </c>
      <c r="B302" s="1131" t="s">
        <v>1447</v>
      </c>
      <c r="C302" s="1145">
        <f>('CPCA-I-02'!B12-'CPCA-I-02'!C12)*-1</f>
        <v>0</v>
      </c>
    </row>
    <row r="303" spans="1:3" x14ac:dyDescent="0.25">
      <c r="A303" s="1131" t="s">
        <v>1448</v>
      </c>
      <c r="B303" s="1131" t="s">
        <v>1449</v>
      </c>
      <c r="C303" s="1145">
        <f>('CPCA-I-02'!B13-'CPCA-I-02'!C13)*-1</f>
        <v>0</v>
      </c>
    </row>
    <row r="304" spans="1:3" x14ac:dyDescent="0.25">
      <c r="A304" s="1131" t="s">
        <v>1450</v>
      </c>
      <c r="B304" s="1131" t="s">
        <v>1451</v>
      </c>
      <c r="C304" s="1145">
        <f>('CPCA-I-02'!B14-'CPCA-I-02'!C14)*-1</f>
        <v>0</v>
      </c>
    </row>
    <row r="305" spans="1:3" ht="24" x14ac:dyDescent="0.25">
      <c r="A305" s="1131" t="s">
        <v>1452</v>
      </c>
      <c r="B305" s="1131" t="s">
        <v>1453</v>
      </c>
      <c r="C305" s="1145">
        <f>('CPCA-I-02'!B15-'CPCA-I-02'!C15)*-1</f>
        <v>-5000</v>
      </c>
    </row>
    <row r="306" spans="1:3" x14ac:dyDescent="0.25">
      <c r="A306" s="1131" t="s">
        <v>1454</v>
      </c>
      <c r="B306" s="1131" t="s">
        <v>1455</v>
      </c>
      <c r="C306" s="1145">
        <f>('CPCA-I-02'!B16-'CPCA-I-02'!C16)*-1</f>
        <v>0</v>
      </c>
    </row>
    <row r="307" spans="1:3" x14ac:dyDescent="0.25">
      <c r="A307" s="1616" t="s">
        <v>1928</v>
      </c>
      <c r="B307" s="1616" t="s">
        <v>1929</v>
      </c>
      <c r="C307" s="1137" t="s">
        <v>1456</v>
      </c>
    </row>
    <row r="308" spans="1:3" x14ac:dyDescent="0.25">
      <c r="A308" s="1616"/>
      <c r="B308" s="1616"/>
      <c r="C308" s="1137" t="s">
        <v>1457</v>
      </c>
    </row>
    <row r="309" spans="1:3" x14ac:dyDescent="0.25">
      <c r="A309" s="1131" t="s">
        <v>1930</v>
      </c>
      <c r="B309" s="1131" t="s">
        <v>296</v>
      </c>
      <c r="C309" s="1133">
        <v>0</v>
      </c>
    </row>
    <row r="310" spans="1:3" x14ac:dyDescent="0.25">
      <c r="A310" s="1131" t="s">
        <v>1931</v>
      </c>
      <c r="B310" s="1131" t="s">
        <v>1932</v>
      </c>
      <c r="C310" s="1133">
        <v>0</v>
      </c>
    </row>
    <row r="311" spans="1:3" x14ac:dyDescent="0.25">
      <c r="A311" s="1131" t="s">
        <v>1933</v>
      </c>
      <c r="B311" s="1131" t="s">
        <v>520</v>
      </c>
      <c r="C311" s="1133">
        <v>0</v>
      </c>
    </row>
    <row r="312" spans="1:3" x14ac:dyDescent="0.25">
      <c r="A312" s="1616" t="s">
        <v>1458</v>
      </c>
      <c r="B312" s="1616" t="s">
        <v>1459</v>
      </c>
      <c r="C312" s="1137" t="s">
        <v>1460</v>
      </c>
    </row>
    <row r="313" spans="1:3" x14ac:dyDescent="0.25">
      <c r="A313" s="1616"/>
      <c r="B313" s="1616"/>
      <c r="C313" s="1137" t="s">
        <v>1457</v>
      </c>
    </row>
    <row r="314" spans="1:3" x14ac:dyDescent="0.25">
      <c r="A314" s="1131" t="s">
        <v>1461</v>
      </c>
      <c r="B314" s="1131" t="s">
        <v>1462</v>
      </c>
      <c r="C314" s="1145">
        <f>'CPCA-I-02'!B19-'CPCA-I-02'!C19</f>
        <v>0</v>
      </c>
    </row>
    <row r="315" spans="1:3" x14ac:dyDescent="0.25">
      <c r="A315" s="1131" t="s">
        <v>1463</v>
      </c>
      <c r="B315" s="1131" t="s">
        <v>1464</v>
      </c>
      <c r="C315" s="1147">
        <f>'CPCA-I-02'!B20-'CPCA-I-02'!C20</f>
        <v>90289.829999999987</v>
      </c>
    </row>
    <row r="316" spans="1:3" x14ac:dyDescent="0.25">
      <c r="A316" s="1131" t="s">
        <v>1465</v>
      </c>
      <c r="B316" s="1131" t="s">
        <v>1466</v>
      </c>
      <c r="C316" s="1147">
        <f>'CPCA-I-02'!B21-'CPCA-I-02'!C21</f>
        <v>0</v>
      </c>
    </row>
    <row r="317" spans="1:3" x14ac:dyDescent="0.25">
      <c r="A317" s="1131" t="s">
        <v>1467</v>
      </c>
      <c r="B317" s="1131" t="s">
        <v>1468</v>
      </c>
      <c r="C317" s="1145">
        <f>'CPCA-I-02'!B22-'CPCA-I-02'!C22</f>
        <v>0</v>
      </c>
    </row>
    <row r="318" spans="1:3" x14ac:dyDescent="0.25">
      <c r="A318" s="1616" t="s">
        <v>1469</v>
      </c>
      <c r="B318" s="1616" t="s">
        <v>1470</v>
      </c>
      <c r="C318" s="1137" t="s">
        <v>1456</v>
      </c>
    </row>
    <row r="319" spans="1:3" x14ac:dyDescent="0.25">
      <c r="A319" s="1616"/>
      <c r="B319" s="1616"/>
      <c r="C319" s="1137" t="s">
        <v>1471</v>
      </c>
    </row>
    <row r="320" spans="1:3" ht="24" x14ac:dyDescent="0.25">
      <c r="A320" s="1131" t="s">
        <v>1472</v>
      </c>
      <c r="B320" s="1131" t="s">
        <v>1473</v>
      </c>
      <c r="C320" s="1147">
        <f>'CPCA-I-02'!$B$24-'CPCA-I-02'!$C$24</f>
        <v>0</v>
      </c>
    </row>
    <row r="321" spans="1:3" ht="24" x14ac:dyDescent="0.25">
      <c r="A321" s="1131" t="s">
        <v>1474</v>
      </c>
      <c r="B321" s="1131" t="s">
        <v>1475</v>
      </c>
      <c r="C321" s="1133">
        <v>0</v>
      </c>
    </row>
    <row r="322" spans="1:3" x14ac:dyDescent="0.25">
      <c r="A322" s="1616" t="s">
        <v>1476</v>
      </c>
      <c r="B322" s="1616" t="s">
        <v>1477</v>
      </c>
      <c r="C322" s="1137" t="s">
        <v>1478</v>
      </c>
    </row>
    <row r="323" spans="1:3" x14ac:dyDescent="0.25">
      <c r="A323" s="1616"/>
      <c r="B323" s="1616"/>
      <c r="C323" s="1137" t="s">
        <v>1479</v>
      </c>
    </row>
    <row r="324" spans="1:3" x14ac:dyDescent="0.25">
      <c r="A324" s="1616"/>
      <c r="B324" s="1616"/>
      <c r="C324" s="1137" t="s">
        <v>1480</v>
      </c>
    </row>
    <row r="325" spans="1:3" ht="24" x14ac:dyDescent="0.25">
      <c r="A325" s="1131" t="s">
        <v>1934</v>
      </c>
      <c r="B325" s="1131" t="s">
        <v>1935</v>
      </c>
      <c r="C325" s="1133">
        <v>0</v>
      </c>
    </row>
    <row r="326" spans="1:3" ht="24" x14ac:dyDescent="0.25">
      <c r="A326" s="1131" t="s">
        <v>1936</v>
      </c>
      <c r="B326" s="1131" t="s">
        <v>1937</v>
      </c>
      <c r="C326" s="1133">
        <v>0</v>
      </c>
    </row>
    <row r="327" spans="1:3" ht="24" x14ac:dyDescent="0.25">
      <c r="A327" s="1131" t="s">
        <v>1938</v>
      </c>
      <c r="B327" s="1131" t="s">
        <v>1939</v>
      </c>
      <c r="C327" s="1133">
        <v>0</v>
      </c>
    </row>
    <row r="328" spans="1:3" x14ac:dyDescent="0.25">
      <c r="A328" s="1131" t="s">
        <v>1940</v>
      </c>
      <c r="B328" s="1131" t="s">
        <v>1941</v>
      </c>
      <c r="C328" s="1133">
        <v>0</v>
      </c>
    </row>
    <row r="329" spans="1:3" x14ac:dyDescent="0.25">
      <c r="A329" s="1131" t="s">
        <v>1942</v>
      </c>
      <c r="B329" s="1131" t="s">
        <v>1047</v>
      </c>
      <c r="C329" s="1133">
        <v>0</v>
      </c>
    </row>
    <row r="330" spans="1:3" x14ac:dyDescent="0.25">
      <c r="A330" s="1131" t="s">
        <v>1943</v>
      </c>
      <c r="B330" s="1131" t="s">
        <v>1944</v>
      </c>
      <c r="C330" s="1133">
        <v>0</v>
      </c>
    </row>
    <row r="331" spans="1:3" ht="24" x14ac:dyDescent="0.25">
      <c r="A331" s="1131" t="s">
        <v>1945</v>
      </c>
      <c r="B331" s="1131" t="s">
        <v>1946</v>
      </c>
      <c r="C331" s="1131"/>
    </row>
    <row r="332" spans="1:3" ht="24" x14ac:dyDescent="0.25">
      <c r="A332" s="1131" t="s">
        <v>1947</v>
      </c>
      <c r="B332" s="1131" t="s">
        <v>1948</v>
      </c>
      <c r="C332" s="1131"/>
    </row>
    <row r="333" spans="1:3" x14ac:dyDescent="0.25">
      <c r="A333" s="1131" t="s">
        <v>1949</v>
      </c>
      <c r="B333" s="1131" t="s">
        <v>1950</v>
      </c>
      <c r="C333" s="1133">
        <v>0</v>
      </c>
    </row>
    <row r="334" spans="1:3" x14ac:dyDescent="0.25">
      <c r="A334" s="1131" t="s">
        <v>1951</v>
      </c>
      <c r="B334" s="1131" t="s">
        <v>1633</v>
      </c>
      <c r="C334" s="1131"/>
    </row>
    <row r="335" spans="1:3" x14ac:dyDescent="0.25">
      <c r="A335" s="1131" t="s">
        <v>1952</v>
      </c>
      <c r="B335" s="1131" t="s">
        <v>1635</v>
      </c>
      <c r="C335" s="1131"/>
    </row>
    <row r="336" spans="1:3" ht="24" x14ac:dyDescent="0.25">
      <c r="A336" s="1131" t="s">
        <v>1953</v>
      </c>
      <c r="B336" s="1131" t="s">
        <v>1954</v>
      </c>
      <c r="C336" s="1133">
        <v>0</v>
      </c>
    </row>
    <row r="337" spans="1:3" x14ac:dyDescent="0.25">
      <c r="A337" s="1131" t="s">
        <v>1955</v>
      </c>
      <c r="B337" s="1131" t="s">
        <v>1956</v>
      </c>
      <c r="C337" s="1133">
        <v>0</v>
      </c>
    </row>
    <row r="338" spans="1:3" x14ac:dyDescent="0.25">
      <c r="A338" s="1131" t="s">
        <v>1957</v>
      </c>
      <c r="B338" s="1131" t="s">
        <v>1958</v>
      </c>
      <c r="C338" s="1131"/>
    </row>
    <row r="339" spans="1:3" x14ac:dyDescent="0.25">
      <c r="A339" s="1131" t="s">
        <v>1959</v>
      </c>
      <c r="B339" s="1131" t="s">
        <v>1633</v>
      </c>
      <c r="C339" s="1133">
        <v>0</v>
      </c>
    </row>
    <row r="340" spans="1:3" x14ac:dyDescent="0.25">
      <c r="A340" s="1131" t="s">
        <v>1960</v>
      </c>
      <c r="B340" s="1131" t="s">
        <v>1635</v>
      </c>
      <c r="C340" s="1133">
        <v>0</v>
      </c>
    </row>
    <row r="341" spans="1:3" x14ac:dyDescent="0.25">
      <c r="A341" s="1616" t="s">
        <v>1961</v>
      </c>
      <c r="B341" s="1616" t="s">
        <v>1962</v>
      </c>
      <c r="C341" s="1137" t="s">
        <v>1481</v>
      </c>
    </row>
    <row r="342" spans="1:3" x14ac:dyDescent="0.25">
      <c r="A342" s="1616"/>
      <c r="B342" s="1616"/>
      <c r="C342" s="1137" t="s">
        <v>1480</v>
      </c>
    </row>
    <row r="343" spans="1:3" x14ac:dyDescent="0.25">
      <c r="A343" s="1131" t="s">
        <v>1963</v>
      </c>
      <c r="B343" s="1131" t="s">
        <v>1482</v>
      </c>
      <c r="C343" s="1133">
        <v>0</v>
      </c>
    </row>
    <row r="344" spans="1:3" x14ac:dyDescent="0.25">
      <c r="A344" s="1131" t="s">
        <v>1964</v>
      </c>
      <c r="B344" s="1131" t="s">
        <v>1483</v>
      </c>
      <c r="C344" s="1133">
        <v>0</v>
      </c>
    </row>
    <row r="345" spans="1:3" ht="24" x14ac:dyDescent="0.25">
      <c r="A345" s="1131" t="s">
        <v>1965</v>
      </c>
      <c r="B345" s="1131" t="s">
        <v>1473</v>
      </c>
      <c r="C345" s="1133">
        <v>0</v>
      </c>
    </row>
    <row r="346" spans="1:3" x14ac:dyDescent="0.25">
      <c r="A346" s="1131" t="s">
        <v>1966</v>
      </c>
      <c r="B346" s="1131" t="s">
        <v>58</v>
      </c>
      <c r="C346" s="1133">
        <v>0</v>
      </c>
    </row>
    <row r="347" spans="1:3" x14ac:dyDescent="0.25">
      <c r="A347" s="1131" t="s">
        <v>1967</v>
      </c>
      <c r="B347" s="1131" t="s">
        <v>1484</v>
      </c>
      <c r="C347" s="1133">
        <v>0</v>
      </c>
    </row>
    <row r="348" spans="1:3" x14ac:dyDescent="0.25">
      <c r="A348" s="1131"/>
      <c r="B348" s="1131"/>
      <c r="C348" s="1131"/>
    </row>
    <row r="349" spans="1:3" x14ac:dyDescent="0.25">
      <c r="A349" s="1130"/>
      <c r="B349" s="1130"/>
      <c r="C349" s="1131"/>
    </row>
    <row r="350" spans="1:3" x14ac:dyDescent="0.25">
      <c r="A350" s="1130" t="s">
        <v>1485</v>
      </c>
      <c r="B350" s="1130" t="s">
        <v>1486</v>
      </c>
      <c r="C350" s="1131"/>
    </row>
    <row r="351" spans="1:3" x14ac:dyDescent="0.25">
      <c r="A351" s="1131" t="s">
        <v>1487</v>
      </c>
      <c r="B351" s="1131" t="s">
        <v>1488</v>
      </c>
      <c r="C351" s="1131"/>
    </row>
    <row r="352" spans="1:3" x14ac:dyDescent="0.25">
      <c r="A352" s="1616" t="s">
        <v>1489</v>
      </c>
      <c r="B352" s="1616" t="s">
        <v>1490</v>
      </c>
      <c r="C352" s="1137" t="s">
        <v>1481</v>
      </c>
    </row>
    <row r="353" spans="1:3" x14ac:dyDescent="0.25">
      <c r="A353" s="1616"/>
      <c r="B353" s="1616"/>
      <c r="C353" s="1137" t="s">
        <v>1480</v>
      </c>
    </row>
    <row r="354" spans="1:3" x14ac:dyDescent="0.25">
      <c r="A354" s="1131" t="s">
        <v>1491</v>
      </c>
      <c r="B354" s="1131" t="s">
        <v>213</v>
      </c>
      <c r="C354" s="1145">
        <f>'CPCA-I-02'!F10-'CPCA-I-02'!G10</f>
        <v>618455.44999999995</v>
      </c>
    </row>
    <row r="355" spans="1:3" x14ac:dyDescent="0.25">
      <c r="A355" s="1131" t="s">
        <v>1492</v>
      </c>
      <c r="B355" s="1131" t="s">
        <v>1493</v>
      </c>
      <c r="C355" s="1147">
        <f>'CPCA-I-02'!F11-'CPCA-I-02'!G11</f>
        <v>-92579.72</v>
      </c>
    </row>
    <row r="356" spans="1:3" x14ac:dyDescent="0.25">
      <c r="A356" s="1131" t="s">
        <v>1494</v>
      </c>
      <c r="B356" s="1131" t="s">
        <v>1495</v>
      </c>
      <c r="C356" s="1145">
        <f>'CPCA-I-02'!F12-'CPCA-I-02'!G12</f>
        <v>0</v>
      </c>
    </row>
    <row r="357" spans="1:3" x14ac:dyDescent="0.25">
      <c r="A357" s="1131" t="s">
        <v>1496</v>
      </c>
      <c r="B357" s="1131" t="s">
        <v>1497</v>
      </c>
      <c r="C357" s="1145">
        <f>'CPCA-I-02'!F13-'CPCA-I-02'!G13</f>
        <v>0</v>
      </c>
    </row>
    <row r="358" spans="1:3" x14ac:dyDescent="0.25">
      <c r="A358" s="1131" t="s">
        <v>1498</v>
      </c>
      <c r="B358" s="1131" t="s">
        <v>1499</v>
      </c>
      <c r="C358" s="1145">
        <f>'CPCA-I-02'!F14-'CPCA-I-02'!G14</f>
        <v>0</v>
      </c>
    </row>
    <row r="359" spans="1:3" x14ac:dyDescent="0.25">
      <c r="A359" s="1131" t="s">
        <v>1500</v>
      </c>
      <c r="B359" s="1131" t="s">
        <v>1501</v>
      </c>
      <c r="C359" s="1145">
        <f>'CPCA-I-02'!F15-'CPCA-I-02'!G15</f>
        <v>0</v>
      </c>
    </row>
    <row r="360" spans="1:3" x14ac:dyDescent="0.25">
      <c r="A360" s="1131" t="s">
        <v>1502</v>
      </c>
      <c r="B360" s="1131" t="s">
        <v>1503</v>
      </c>
      <c r="C360" s="1147">
        <f>'CPCA-I-02'!F16-'CPCA-I-02'!G16</f>
        <v>6481751.5199999996</v>
      </c>
    </row>
    <row r="361" spans="1:3" x14ac:dyDescent="0.25">
      <c r="A361" s="1131" t="s">
        <v>1504</v>
      </c>
      <c r="B361" s="1131" t="s">
        <v>1505</v>
      </c>
      <c r="C361" s="1145">
        <f>'CPCA-I-02'!F17-'CPCA-I-02'!G17</f>
        <v>0</v>
      </c>
    </row>
    <row r="362" spans="1:3" x14ac:dyDescent="0.25">
      <c r="A362" s="1131" t="s">
        <v>1506</v>
      </c>
      <c r="B362" s="1131" t="s">
        <v>1507</v>
      </c>
      <c r="C362" s="1145">
        <f>'CPCA-I-02'!F18-'CPCA-I-02'!G18</f>
        <v>0</v>
      </c>
    </row>
    <row r="363" spans="1:3" x14ac:dyDescent="0.25">
      <c r="A363" s="1616" t="s">
        <v>1968</v>
      </c>
      <c r="B363" s="1616" t="s">
        <v>1969</v>
      </c>
      <c r="C363" s="1137" t="s">
        <v>1481</v>
      </c>
    </row>
    <row r="364" spans="1:3" x14ac:dyDescent="0.25">
      <c r="A364" s="1616"/>
      <c r="B364" s="1616"/>
      <c r="C364" s="1137" t="s">
        <v>1480</v>
      </c>
    </row>
    <row r="365" spans="1:3" x14ac:dyDescent="0.25">
      <c r="A365" s="1131" t="s">
        <v>1970</v>
      </c>
      <c r="B365" s="1131" t="s">
        <v>1971</v>
      </c>
      <c r="C365" s="1133">
        <v>0</v>
      </c>
    </row>
    <row r="366" spans="1:3" ht="24" x14ac:dyDescent="0.25">
      <c r="A366" s="1131" t="s">
        <v>1972</v>
      </c>
      <c r="B366" s="1131" t="s">
        <v>1973</v>
      </c>
      <c r="C366" s="1133">
        <v>0</v>
      </c>
    </row>
    <row r="367" spans="1:3" x14ac:dyDescent="0.25">
      <c r="A367" s="1131" t="s">
        <v>1974</v>
      </c>
      <c r="B367" s="1131" t="s">
        <v>1975</v>
      </c>
      <c r="C367" s="1133">
        <v>0</v>
      </c>
    </row>
    <row r="368" spans="1:3" x14ac:dyDescent="0.25">
      <c r="A368" s="1131" t="s">
        <v>1976</v>
      </c>
      <c r="B368" s="1131" t="s">
        <v>1977</v>
      </c>
      <c r="C368" s="1133">
        <v>0</v>
      </c>
    </row>
    <row r="369" spans="1:3" x14ac:dyDescent="0.25">
      <c r="A369" s="1131" t="s">
        <v>1978</v>
      </c>
      <c r="B369" s="1131" t="s">
        <v>1979</v>
      </c>
      <c r="C369" s="1133">
        <v>0</v>
      </c>
    </row>
    <row r="370" spans="1:3" ht="24" x14ac:dyDescent="0.25">
      <c r="A370" s="1131" t="s">
        <v>1980</v>
      </c>
      <c r="B370" s="1131" t="s">
        <v>1981</v>
      </c>
      <c r="C370" s="1131"/>
    </row>
    <row r="371" spans="1:3" ht="24" x14ac:dyDescent="0.25">
      <c r="A371" s="1131" t="s">
        <v>1982</v>
      </c>
      <c r="B371" s="1131" t="s">
        <v>1983</v>
      </c>
      <c r="C371" s="1131"/>
    </row>
    <row r="372" spans="1:3" ht="24" x14ac:dyDescent="0.25">
      <c r="A372" s="1131" t="s">
        <v>1984</v>
      </c>
      <c r="B372" s="1131" t="s">
        <v>1985</v>
      </c>
      <c r="C372" s="1133">
        <v>0</v>
      </c>
    </row>
    <row r="373" spans="1:3" ht="24" x14ac:dyDescent="0.25">
      <c r="A373" s="1131" t="s">
        <v>1986</v>
      </c>
      <c r="B373" s="1131" t="s">
        <v>1987</v>
      </c>
      <c r="C373" s="1133">
        <v>0</v>
      </c>
    </row>
    <row r="374" spans="1:3" ht="24" x14ac:dyDescent="0.25">
      <c r="A374" s="1131" t="s">
        <v>1988</v>
      </c>
      <c r="B374" s="1131" t="s">
        <v>1989</v>
      </c>
      <c r="C374" s="1131"/>
    </row>
    <row r="375" spans="1:3" ht="24" x14ac:dyDescent="0.25">
      <c r="A375" s="1131" t="s">
        <v>1990</v>
      </c>
      <c r="B375" s="1131" t="s">
        <v>1991</v>
      </c>
      <c r="C375" s="1133">
        <v>0</v>
      </c>
    </row>
    <row r="376" spans="1:3" ht="24" x14ac:dyDescent="0.25">
      <c r="A376" s="1131" t="s">
        <v>1992</v>
      </c>
      <c r="B376" s="1131" t="s">
        <v>1993</v>
      </c>
      <c r="C376" s="1133">
        <v>0</v>
      </c>
    </row>
    <row r="377" spans="1:3" x14ac:dyDescent="0.25">
      <c r="A377" s="1616" t="s">
        <v>1994</v>
      </c>
      <c r="B377" s="1616" t="s">
        <v>1995</v>
      </c>
      <c r="C377" s="1137" t="s">
        <v>1456</v>
      </c>
    </row>
    <row r="378" spans="1:3" x14ac:dyDescent="0.25">
      <c r="A378" s="1616"/>
      <c r="B378" s="1616"/>
      <c r="C378" s="1137" t="s">
        <v>1480</v>
      </c>
    </row>
    <row r="379" spans="1:3" x14ac:dyDescent="0.25">
      <c r="A379" s="1131" t="s">
        <v>1996</v>
      </c>
      <c r="B379" s="1131" t="s">
        <v>1997</v>
      </c>
      <c r="C379" s="1131" t="s">
        <v>1998</v>
      </c>
    </row>
    <row r="380" spans="1:3" x14ac:dyDescent="0.25">
      <c r="A380" s="1131" t="s">
        <v>1999</v>
      </c>
      <c r="B380" s="1131" t="s">
        <v>2000</v>
      </c>
      <c r="C380" s="1131" t="s">
        <v>2001</v>
      </c>
    </row>
    <row r="381" spans="1:3" x14ac:dyDescent="0.25">
      <c r="A381" s="1131" t="s">
        <v>2002</v>
      </c>
      <c r="B381" s="1131" t="s">
        <v>304</v>
      </c>
      <c r="C381" s="1131" t="s">
        <v>2003</v>
      </c>
    </row>
    <row r="382" spans="1:3" x14ac:dyDescent="0.25">
      <c r="A382" s="1131"/>
      <c r="B382" s="1131"/>
      <c r="C382" s="1131"/>
    </row>
    <row r="383" spans="1:3" x14ac:dyDescent="0.25">
      <c r="A383" s="1131" t="s">
        <v>1508</v>
      </c>
      <c r="B383" s="1131" t="s">
        <v>1509</v>
      </c>
      <c r="C383" s="1148">
        <f>SUM(C354:C362)</f>
        <v>7007627.25</v>
      </c>
    </row>
    <row r="384" spans="1:3" x14ac:dyDescent="0.25">
      <c r="A384" s="1131"/>
      <c r="B384" s="1131"/>
      <c r="C384" s="1149"/>
    </row>
    <row r="385" spans="1:3" x14ac:dyDescent="0.25">
      <c r="A385" s="1616" t="s">
        <v>2004</v>
      </c>
      <c r="B385" s="1616" t="s">
        <v>2005</v>
      </c>
      <c r="C385" s="1137" t="s">
        <v>1456</v>
      </c>
    </row>
    <row r="386" spans="1:3" x14ac:dyDescent="0.25">
      <c r="A386" s="1616"/>
      <c r="B386" s="1616"/>
      <c r="C386" s="1137" t="s">
        <v>1480</v>
      </c>
    </row>
    <row r="387" spans="1:3" x14ac:dyDescent="0.25">
      <c r="A387" s="1131" t="s">
        <v>2006</v>
      </c>
      <c r="B387" s="1131" t="s">
        <v>2007</v>
      </c>
      <c r="C387" s="1133">
        <v>0</v>
      </c>
    </row>
    <row r="388" spans="1:3" x14ac:dyDescent="0.25">
      <c r="A388" s="1131" t="s">
        <v>2008</v>
      </c>
      <c r="B388" s="1131" t="s">
        <v>1495</v>
      </c>
      <c r="C388" s="1133">
        <v>0</v>
      </c>
    </row>
    <row r="389" spans="1:3" x14ac:dyDescent="0.25">
      <c r="A389" s="1616" t="s">
        <v>2009</v>
      </c>
      <c r="B389" s="1616" t="s">
        <v>2010</v>
      </c>
      <c r="C389" s="1137" t="s">
        <v>1481</v>
      </c>
    </row>
    <row r="390" spans="1:3" x14ac:dyDescent="0.25">
      <c r="A390" s="1616"/>
      <c r="B390" s="1616"/>
      <c r="C390" s="1137" t="s">
        <v>1480</v>
      </c>
    </row>
    <row r="391" spans="1:3" x14ac:dyDescent="0.25">
      <c r="A391" s="1131" t="s">
        <v>2011</v>
      </c>
      <c r="B391" s="1131" t="s">
        <v>1971</v>
      </c>
      <c r="C391" s="1133">
        <v>0</v>
      </c>
    </row>
    <row r="392" spans="1:3" ht="24" x14ac:dyDescent="0.25">
      <c r="A392" s="1131" t="s">
        <v>2012</v>
      </c>
      <c r="B392" s="1131" t="s">
        <v>1973</v>
      </c>
      <c r="C392" s="1133">
        <v>0</v>
      </c>
    </row>
    <row r="393" spans="1:3" x14ac:dyDescent="0.25">
      <c r="A393" s="1131" t="s">
        <v>2013</v>
      </c>
      <c r="B393" s="1131" t="s">
        <v>2014</v>
      </c>
      <c r="C393" s="1133">
        <v>0</v>
      </c>
    </row>
    <row r="394" spans="1:3" x14ac:dyDescent="0.25">
      <c r="A394" s="1131"/>
      <c r="B394" s="1131"/>
      <c r="C394" s="1131"/>
    </row>
    <row r="395" spans="1:3" x14ac:dyDescent="0.25">
      <c r="A395" s="1131" t="s">
        <v>2015</v>
      </c>
      <c r="B395" s="1131" t="s">
        <v>2016</v>
      </c>
      <c r="C395" s="1131"/>
    </row>
    <row r="396" spans="1:3" ht="24" x14ac:dyDescent="0.25">
      <c r="A396" s="1131" t="s">
        <v>2017</v>
      </c>
      <c r="B396" s="1131" t="s">
        <v>2018</v>
      </c>
      <c r="C396" s="1133">
        <v>0</v>
      </c>
    </row>
    <row r="397" spans="1:3" ht="24" x14ac:dyDescent="0.25">
      <c r="A397" s="1131" t="s">
        <v>2019</v>
      </c>
      <c r="B397" s="1131" t="s">
        <v>2020</v>
      </c>
      <c r="C397" s="1133">
        <v>0</v>
      </c>
    </row>
    <row r="398" spans="1:3" ht="24" x14ac:dyDescent="0.25">
      <c r="A398" s="1131" t="s">
        <v>2021</v>
      </c>
      <c r="B398" s="1131" t="s">
        <v>2022</v>
      </c>
      <c r="C398" s="1131"/>
    </row>
    <row r="399" spans="1:3" x14ac:dyDescent="0.25">
      <c r="A399" s="1131" t="s">
        <v>2023</v>
      </c>
      <c r="B399" s="1131" t="s">
        <v>2024</v>
      </c>
      <c r="C399" s="1133">
        <v>0</v>
      </c>
    </row>
    <row r="400" spans="1:3" x14ac:dyDescent="0.25">
      <c r="A400" s="1131" t="s">
        <v>2025</v>
      </c>
      <c r="B400" s="1131" t="s">
        <v>2026</v>
      </c>
      <c r="C400" s="1133">
        <v>0</v>
      </c>
    </row>
    <row r="401" spans="1:3" x14ac:dyDescent="0.25">
      <c r="A401" s="1131"/>
      <c r="B401" s="1131"/>
      <c r="C401" s="1149"/>
    </row>
    <row r="402" spans="1:3" x14ac:dyDescent="0.25">
      <c r="A402" s="1616" t="s">
        <v>2027</v>
      </c>
      <c r="B402" s="1616" t="s">
        <v>2028</v>
      </c>
      <c r="C402" s="1137" t="s">
        <v>1481</v>
      </c>
    </row>
    <row r="403" spans="1:3" x14ac:dyDescent="0.25">
      <c r="A403" s="1616"/>
      <c r="B403" s="1616"/>
      <c r="C403" s="1137" t="s">
        <v>1480</v>
      </c>
    </row>
    <row r="404" spans="1:3" x14ac:dyDescent="0.25">
      <c r="A404" s="1131" t="s">
        <v>2029</v>
      </c>
      <c r="B404" s="1131" t="s">
        <v>1997</v>
      </c>
      <c r="C404" s="1133">
        <v>0</v>
      </c>
    </row>
    <row r="405" spans="1:3" x14ac:dyDescent="0.25">
      <c r="A405" s="1131" t="s">
        <v>2030</v>
      </c>
      <c r="B405" s="1131" t="s">
        <v>2000</v>
      </c>
      <c r="C405" s="1133">
        <v>0</v>
      </c>
    </row>
    <row r="406" spans="1:3" x14ac:dyDescent="0.25">
      <c r="A406" s="1131" t="s">
        <v>2031</v>
      </c>
      <c r="B406" s="1131" t="s">
        <v>304</v>
      </c>
      <c r="C406" s="1133">
        <v>0</v>
      </c>
    </row>
    <row r="407" spans="1:3" x14ac:dyDescent="0.25">
      <c r="A407" s="1131"/>
      <c r="B407" s="1131"/>
      <c r="C407" s="1131"/>
    </row>
    <row r="408" spans="1:3" x14ac:dyDescent="0.25">
      <c r="A408" s="1130" t="s">
        <v>1510</v>
      </c>
      <c r="B408" s="1130" t="s">
        <v>1511</v>
      </c>
      <c r="C408" s="1130"/>
    </row>
    <row r="409" spans="1:3" x14ac:dyDescent="0.25">
      <c r="A409" s="1131"/>
      <c r="B409" s="1130"/>
      <c r="C409" s="1131"/>
    </row>
    <row r="410" spans="1:3" x14ac:dyDescent="0.25">
      <c r="A410" s="1131"/>
      <c r="B410" s="1130" t="s">
        <v>1512</v>
      </c>
      <c r="C410" s="1150">
        <f>C300+C301+C302+C303+C304+C305+C306+C314+C315+C316+C317+C320+C383</f>
        <v>6102595.9800000004</v>
      </c>
    </row>
    <row r="411" spans="1:3" x14ac:dyDescent="0.25">
      <c r="A411" s="1131"/>
      <c r="B411" s="1131"/>
      <c r="C411" s="1151"/>
    </row>
    <row r="412" spans="1:3" x14ac:dyDescent="0.25">
      <c r="A412" s="1130"/>
      <c r="B412" s="1130"/>
      <c r="C412" s="1131"/>
    </row>
    <row r="413" spans="1:3" x14ac:dyDescent="0.25">
      <c r="A413" s="1130">
        <v>3.2</v>
      </c>
      <c r="B413" s="1130" t="s">
        <v>1513</v>
      </c>
      <c r="C413" s="1131"/>
    </row>
    <row r="414" spans="1:3" x14ac:dyDescent="0.25">
      <c r="A414" s="1130"/>
      <c r="B414" s="1130"/>
      <c r="C414" s="1130"/>
    </row>
    <row r="415" spans="1:3" x14ac:dyDescent="0.25">
      <c r="A415" s="1130" t="s">
        <v>1514</v>
      </c>
      <c r="B415" s="1130" t="s">
        <v>1515</v>
      </c>
      <c r="C415" s="1130"/>
    </row>
    <row r="416" spans="1:3" ht="24" x14ac:dyDescent="0.25">
      <c r="A416" s="1131" t="s">
        <v>1516</v>
      </c>
      <c r="B416" s="1131" t="s">
        <v>1517</v>
      </c>
      <c r="C416" s="1131"/>
    </row>
    <row r="417" spans="1:3" x14ac:dyDescent="0.25">
      <c r="A417" s="1616" t="s">
        <v>1518</v>
      </c>
      <c r="B417" s="1616" t="s">
        <v>1519</v>
      </c>
      <c r="C417" s="1137" t="s">
        <v>1520</v>
      </c>
    </row>
    <row r="418" spans="1:3" x14ac:dyDescent="0.25">
      <c r="A418" s="1616"/>
      <c r="B418" s="1616"/>
      <c r="C418" s="1137" t="s">
        <v>1480</v>
      </c>
    </row>
    <row r="419" spans="1:3" x14ac:dyDescent="0.25">
      <c r="A419" s="1131" t="s">
        <v>1521</v>
      </c>
      <c r="B419" s="1131" t="s">
        <v>1443</v>
      </c>
      <c r="C419" s="1145">
        <f>IF(('CPCA-I-02'!B10-'CPCA-I-02'!C10)&gt;0,('CPCA-I-02'!B10-'CPCA-I-02'!C10),0)</f>
        <v>4.9900000000000091</v>
      </c>
    </row>
    <row r="420" spans="1:3" x14ac:dyDescent="0.25">
      <c r="A420" s="1131" t="s">
        <v>1522</v>
      </c>
      <c r="B420" s="1131" t="s">
        <v>1445</v>
      </c>
      <c r="C420" s="1145">
        <f>IF(('CPCA-I-02'!B11-'CPCA-I-02'!C11)&gt;0,('CPCA-I-02'!B11-'CPCA-I-02'!C11),0)</f>
        <v>990316.10999999987</v>
      </c>
    </row>
    <row r="421" spans="1:3" x14ac:dyDescent="0.25">
      <c r="A421" s="1131" t="s">
        <v>1523</v>
      </c>
      <c r="B421" s="1131" t="s">
        <v>1447</v>
      </c>
      <c r="C421" s="1145">
        <f>IF(('CPCA-I-02'!B12-'CPCA-I-02'!C12)&gt;0,('CPCA-I-02'!B12-'CPCA-I-02'!C12),0)</f>
        <v>0</v>
      </c>
    </row>
    <row r="422" spans="1:3" x14ac:dyDescent="0.25">
      <c r="A422" s="1131" t="s">
        <v>1524</v>
      </c>
      <c r="B422" s="1131" t="s">
        <v>1525</v>
      </c>
      <c r="C422" s="1145">
        <f>IF(('CPCA-I-02'!B13-'CPCA-I-02'!C13)&gt;0,('CPCA-I-02'!B13-'CPCA-I-02'!C13),0)</f>
        <v>0</v>
      </c>
    </row>
    <row r="423" spans="1:3" x14ac:dyDescent="0.25">
      <c r="A423" s="1131" t="s">
        <v>1526</v>
      </c>
      <c r="B423" s="1131" t="s">
        <v>1451</v>
      </c>
      <c r="C423" s="1145">
        <f>IF(('CPCA-I-02'!B14-'CPCA-I-02'!C14)&gt;0,('CPCA-I-02'!B14-'CPCA-I-02'!C14),0)</f>
        <v>0</v>
      </c>
    </row>
    <row r="424" spans="1:3" ht="24" x14ac:dyDescent="0.25">
      <c r="A424" s="1131" t="s">
        <v>1527</v>
      </c>
      <c r="B424" s="1131" t="s">
        <v>1528</v>
      </c>
      <c r="C424" s="1145">
        <f>IF(('CPCA-I-02'!B15-'CPCA-I-02'!C15)&gt;0,('CPCA-I-02'!B15-'CPCA-I-02'!C15),0)</f>
        <v>5000</v>
      </c>
    </row>
    <row r="425" spans="1:3" x14ac:dyDescent="0.25">
      <c r="A425" s="1131" t="s">
        <v>1529</v>
      </c>
      <c r="B425" s="1131" t="s">
        <v>1455</v>
      </c>
      <c r="C425" s="1145">
        <f>IF(('CPCA-I-02'!B16-'CPCA-I-02'!C16)&gt;0,('CPCA-I-02'!B16-'CPCA-I-02'!C16),0)</f>
        <v>0</v>
      </c>
    </row>
    <row r="426" spans="1:3" x14ac:dyDescent="0.25">
      <c r="A426" s="1616" t="s">
        <v>2032</v>
      </c>
      <c r="B426" s="1616" t="s">
        <v>2033</v>
      </c>
      <c r="C426" s="1137" t="s">
        <v>1481</v>
      </c>
    </row>
    <row r="427" spans="1:3" x14ac:dyDescent="0.25">
      <c r="A427" s="1616"/>
      <c r="B427" s="1616"/>
      <c r="C427" s="1137" t="s">
        <v>1480</v>
      </c>
    </row>
    <row r="428" spans="1:3" x14ac:dyDescent="0.25">
      <c r="A428" s="1131" t="s">
        <v>2034</v>
      </c>
      <c r="B428" s="1131" t="s">
        <v>296</v>
      </c>
      <c r="C428" s="1133">
        <v>0</v>
      </c>
    </row>
    <row r="429" spans="1:3" x14ac:dyDescent="0.25">
      <c r="A429" s="1131" t="s">
        <v>2035</v>
      </c>
      <c r="B429" s="1131" t="s">
        <v>516</v>
      </c>
      <c r="C429" s="1133">
        <v>0</v>
      </c>
    </row>
    <row r="430" spans="1:3" x14ac:dyDescent="0.25">
      <c r="A430" s="1131" t="s">
        <v>2036</v>
      </c>
      <c r="B430" s="1131" t="s">
        <v>520</v>
      </c>
      <c r="C430" s="1133">
        <v>0</v>
      </c>
    </row>
    <row r="431" spans="1:3" x14ac:dyDescent="0.25">
      <c r="A431" s="1616" t="s">
        <v>1530</v>
      </c>
      <c r="B431" s="1616" t="s">
        <v>1531</v>
      </c>
      <c r="C431" s="1137" t="s">
        <v>1481</v>
      </c>
    </row>
    <row r="432" spans="1:3" x14ac:dyDescent="0.25">
      <c r="A432" s="1616"/>
      <c r="B432" s="1616"/>
      <c r="C432" s="1137" t="s">
        <v>1480</v>
      </c>
    </row>
    <row r="433" spans="1:3" x14ac:dyDescent="0.25">
      <c r="A433" s="1131" t="s">
        <v>1532</v>
      </c>
      <c r="B433" s="1131" t="s">
        <v>1462</v>
      </c>
      <c r="C433" s="1145">
        <f>'CPCA-I-02'!B19-'CPCA-I-02'!C19</f>
        <v>0</v>
      </c>
    </row>
    <row r="434" spans="1:3" x14ac:dyDescent="0.25">
      <c r="A434" s="1131" t="s">
        <v>1533</v>
      </c>
      <c r="B434" s="1131" t="s">
        <v>1464</v>
      </c>
      <c r="C434" s="1147">
        <f>'CPCA-I-02'!B20-'CPCA-I-02'!C20</f>
        <v>90289.829999999987</v>
      </c>
    </row>
    <row r="435" spans="1:3" x14ac:dyDescent="0.25">
      <c r="A435" s="1131" t="s">
        <v>1534</v>
      </c>
      <c r="B435" s="1131" t="s">
        <v>1466</v>
      </c>
      <c r="C435" s="1147">
        <f>'CPCA-I-02'!B21-'CPCA-I-02'!C21</f>
        <v>0</v>
      </c>
    </row>
    <row r="436" spans="1:3" x14ac:dyDescent="0.25">
      <c r="A436" s="1131" t="s">
        <v>1535</v>
      </c>
      <c r="B436" s="1131" t="s">
        <v>1536</v>
      </c>
      <c r="C436" s="1145">
        <f>'CPCA-I-02'!B22-'CPCA-I-02'!C22</f>
        <v>0</v>
      </c>
    </row>
    <row r="437" spans="1:3" x14ac:dyDescent="0.25">
      <c r="A437" s="1616" t="s">
        <v>1537</v>
      </c>
      <c r="B437" s="1616" t="s">
        <v>1538</v>
      </c>
      <c r="C437" s="1137" t="s">
        <v>1481</v>
      </c>
    </row>
    <row r="438" spans="1:3" x14ac:dyDescent="0.25">
      <c r="A438" s="1616"/>
      <c r="B438" s="1616"/>
      <c r="C438" s="1137" t="s">
        <v>1539</v>
      </c>
    </row>
    <row r="439" spans="1:3" ht="24" x14ac:dyDescent="0.25">
      <c r="A439" s="1131" t="s">
        <v>1540</v>
      </c>
      <c r="B439" s="1131" t="s">
        <v>1473</v>
      </c>
      <c r="C439" s="1147">
        <f>'CPCA-I-02'!B24-'CPCA-I-02'!C24</f>
        <v>0</v>
      </c>
    </row>
    <row r="440" spans="1:3" x14ac:dyDescent="0.25">
      <c r="A440" s="1131" t="s">
        <v>1541</v>
      </c>
      <c r="B440" s="1131" t="s">
        <v>1542</v>
      </c>
      <c r="C440" s="1145">
        <f>'CPCA-I-02'!B25-'CPCA-I-02'!C25</f>
        <v>6209884.419999999</v>
      </c>
    </row>
    <row r="441" spans="1:3" x14ac:dyDescent="0.25">
      <c r="A441" s="1616" t="s">
        <v>2037</v>
      </c>
      <c r="B441" s="1616" t="s">
        <v>2038</v>
      </c>
      <c r="C441" s="1137" t="s">
        <v>1481</v>
      </c>
    </row>
    <row r="442" spans="1:3" x14ac:dyDescent="0.25">
      <c r="A442" s="1616"/>
      <c r="B442" s="1616"/>
      <c r="C442" s="1137" t="s">
        <v>1480</v>
      </c>
    </row>
    <row r="443" spans="1:3" ht="24" x14ac:dyDescent="0.25">
      <c r="A443" s="1131" t="s">
        <v>2039</v>
      </c>
      <c r="B443" s="1131" t="s">
        <v>1935</v>
      </c>
      <c r="C443" s="1133">
        <v>0</v>
      </c>
    </row>
    <row r="444" spans="1:3" ht="24" x14ac:dyDescent="0.25">
      <c r="A444" s="1131" t="s">
        <v>2040</v>
      </c>
      <c r="B444" s="1131" t="s">
        <v>1937</v>
      </c>
      <c r="C444" s="1133">
        <v>0</v>
      </c>
    </row>
    <row r="445" spans="1:3" ht="24" x14ac:dyDescent="0.25">
      <c r="A445" s="1131" t="s">
        <v>2041</v>
      </c>
      <c r="B445" s="1131" t="s">
        <v>1939</v>
      </c>
      <c r="C445" s="1133">
        <v>0</v>
      </c>
    </row>
    <row r="446" spans="1:3" x14ac:dyDescent="0.25">
      <c r="A446" s="1131" t="s">
        <v>2042</v>
      </c>
      <c r="B446" s="1131" t="s">
        <v>1941</v>
      </c>
      <c r="C446" s="1133">
        <v>0</v>
      </c>
    </row>
    <row r="447" spans="1:3" x14ac:dyDescent="0.25">
      <c r="A447" s="1131" t="s">
        <v>2043</v>
      </c>
      <c r="B447" s="1131" t="s">
        <v>2044</v>
      </c>
      <c r="C447" s="1133">
        <v>0</v>
      </c>
    </row>
    <row r="448" spans="1:3" x14ac:dyDescent="0.25">
      <c r="A448" s="1131" t="s">
        <v>2045</v>
      </c>
      <c r="B448" s="1131" t="s">
        <v>39</v>
      </c>
      <c r="C448" s="1133">
        <v>0</v>
      </c>
    </row>
    <row r="449" spans="1:3" ht="18" customHeight="1" x14ac:dyDescent="0.25">
      <c r="A449" s="1131" t="s">
        <v>2046</v>
      </c>
      <c r="B449" s="1131" t="s">
        <v>2047</v>
      </c>
      <c r="C449" s="1131"/>
    </row>
    <row r="450" spans="1:3" ht="24" x14ac:dyDescent="0.25">
      <c r="A450" s="1131" t="s">
        <v>2048</v>
      </c>
      <c r="B450" s="1131" t="s">
        <v>2049</v>
      </c>
      <c r="C450" s="1131"/>
    </row>
    <row r="451" spans="1:3" ht="24" x14ac:dyDescent="0.25">
      <c r="A451" s="1131" t="s">
        <v>2050</v>
      </c>
      <c r="B451" s="1131" t="s">
        <v>2051</v>
      </c>
      <c r="C451" s="1131"/>
    </row>
    <row r="452" spans="1:3" x14ac:dyDescent="0.25">
      <c r="A452" s="1131" t="s">
        <v>2052</v>
      </c>
      <c r="B452" s="1131" t="s">
        <v>1633</v>
      </c>
      <c r="C452" s="1133">
        <v>0</v>
      </c>
    </row>
    <row r="453" spans="1:3" x14ac:dyDescent="0.25">
      <c r="A453" s="1131" t="s">
        <v>2053</v>
      </c>
      <c r="B453" s="1131" t="s">
        <v>1635</v>
      </c>
      <c r="C453" s="1133">
        <v>0</v>
      </c>
    </row>
    <row r="454" spans="1:3" ht="24" x14ac:dyDescent="0.25">
      <c r="A454" s="1131" t="s">
        <v>2054</v>
      </c>
      <c r="B454" s="1131" t="s">
        <v>2055</v>
      </c>
      <c r="C454" s="1133">
        <v>0</v>
      </c>
    </row>
    <row r="455" spans="1:3" x14ac:dyDescent="0.25">
      <c r="A455" s="1131" t="s">
        <v>2056</v>
      </c>
      <c r="B455" s="1131" t="s">
        <v>2057</v>
      </c>
      <c r="C455" s="1131"/>
    </row>
    <row r="456" spans="1:3" x14ac:dyDescent="0.25">
      <c r="A456" s="1131" t="s">
        <v>2058</v>
      </c>
      <c r="B456" s="1131" t="s">
        <v>518</v>
      </c>
      <c r="C456" s="1131"/>
    </row>
    <row r="457" spans="1:3" x14ac:dyDescent="0.25">
      <c r="A457" s="1131" t="s">
        <v>2059</v>
      </c>
      <c r="B457" s="1131" t="s">
        <v>1633</v>
      </c>
      <c r="C457" s="1133">
        <v>0</v>
      </c>
    </row>
    <row r="458" spans="1:3" x14ac:dyDescent="0.25">
      <c r="A458" s="1131" t="s">
        <v>2060</v>
      </c>
      <c r="B458" s="1131" t="s">
        <v>1635</v>
      </c>
      <c r="C458" s="1133">
        <v>0</v>
      </c>
    </row>
    <row r="459" spans="1:3" x14ac:dyDescent="0.25">
      <c r="A459" s="1616" t="s">
        <v>2061</v>
      </c>
      <c r="B459" s="1616" t="s">
        <v>2062</v>
      </c>
      <c r="C459" s="1137" t="s">
        <v>1456</v>
      </c>
    </row>
    <row r="460" spans="1:3" x14ac:dyDescent="0.25">
      <c r="A460" s="1616"/>
      <c r="B460" s="1616"/>
      <c r="C460" s="1137" t="s">
        <v>1480</v>
      </c>
    </row>
    <row r="461" spans="1:3" x14ac:dyDescent="0.25">
      <c r="A461" s="1131" t="s">
        <v>1543</v>
      </c>
      <c r="B461" s="1131" t="s">
        <v>1482</v>
      </c>
      <c r="C461" s="1133">
        <v>0</v>
      </c>
    </row>
    <row r="462" spans="1:3" x14ac:dyDescent="0.25">
      <c r="A462" s="1131" t="s">
        <v>1544</v>
      </c>
      <c r="B462" s="1131" t="s">
        <v>1483</v>
      </c>
      <c r="C462" s="1147">
        <f>'CPCA-I-02'!B20-'CPCA-I-02'!C20</f>
        <v>90289.829999999987</v>
      </c>
    </row>
    <row r="463" spans="1:3" ht="24" x14ac:dyDescent="0.25">
      <c r="A463" s="1131" t="s">
        <v>1545</v>
      </c>
      <c r="B463" s="1131" t="s">
        <v>1546</v>
      </c>
      <c r="C463" s="1147">
        <f>'CPCA-I-02'!B21-'CPCA-I-02'!C21</f>
        <v>0</v>
      </c>
    </row>
    <row r="464" spans="1:3" x14ac:dyDescent="0.25">
      <c r="A464" s="1131" t="s">
        <v>1547</v>
      </c>
      <c r="B464" s="1131" t="s">
        <v>58</v>
      </c>
      <c r="C464" s="1133">
        <v>0</v>
      </c>
    </row>
    <row r="465" spans="1:3" x14ac:dyDescent="0.25">
      <c r="A465" s="1131" t="s">
        <v>1548</v>
      </c>
      <c r="B465" s="1131" t="s">
        <v>1484</v>
      </c>
      <c r="C465" s="1133">
        <v>0</v>
      </c>
    </row>
    <row r="466" spans="1:3" x14ac:dyDescent="0.25">
      <c r="A466" s="1131"/>
      <c r="B466" s="1131"/>
      <c r="C466" s="1131"/>
    </row>
    <row r="467" spans="1:3" x14ac:dyDescent="0.25">
      <c r="A467" s="1130" t="s">
        <v>1549</v>
      </c>
      <c r="B467" s="1130" t="s">
        <v>1550</v>
      </c>
      <c r="C467" s="1131"/>
    </row>
    <row r="468" spans="1:3" x14ac:dyDescent="0.25">
      <c r="A468" s="1131" t="s">
        <v>1551</v>
      </c>
      <c r="B468" s="1131" t="s">
        <v>1552</v>
      </c>
      <c r="C468" s="1131"/>
    </row>
    <row r="469" spans="1:3" x14ac:dyDescent="0.25">
      <c r="A469" s="1616" t="s">
        <v>1553</v>
      </c>
      <c r="B469" s="1616" t="s">
        <v>1554</v>
      </c>
      <c r="C469" s="1137" t="s">
        <v>1481</v>
      </c>
    </row>
    <row r="470" spans="1:3" x14ac:dyDescent="0.25">
      <c r="A470" s="1616"/>
      <c r="B470" s="1616"/>
      <c r="C470" s="1137" t="s">
        <v>1480</v>
      </c>
    </row>
    <row r="471" spans="1:3" x14ac:dyDescent="0.25">
      <c r="A471" s="1131" t="s">
        <v>1555</v>
      </c>
      <c r="B471" s="1131" t="s">
        <v>1556</v>
      </c>
      <c r="C471" s="1145">
        <f>'CPCA-I-02'!F10-'CPCA-I-02'!G10</f>
        <v>618455.44999999995</v>
      </c>
    </row>
    <row r="472" spans="1:3" x14ac:dyDescent="0.25">
      <c r="A472" s="1131" t="s">
        <v>1557</v>
      </c>
      <c r="B472" s="1131" t="s">
        <v>1493</v>
      </c>
      <c r="C472" s="1136">
        <f>'CPCA-I-02'!F11-'CPCA-I-02'!G11</f>
        <v>-92579.72</v>
      </c>
    </row>
    <row r="473" spans="1:3" x14ac:dyDescent="0.25">
      <c r="A473" s="1131" t="s">
        <v>1558</v>
      </c>
      <c r="B473" s="1131" t="s">
        <v>1495</v>
      </c>
      <c r="C473" s="1145">
        <f>'CPCA-I-02'!F12-'CPCA-I-02'!G12</f>
        <v>0</v>
      </c>
    </row>
    <row r="474" spans="1:3" x14ac:dyDescent="0.25">
      <c r="A474" s="1131" t="s">
        <v>1559</v>
      </c>
      <c r="B474" s="1131" t="s">
        <v>1497</v>
      </c>
      <c r="C474" s="1145">
        <f>'CPCA-I-02'!F13-'CPCA-I-02'!G13</f>
        <v>0</v>
      </c>
    </row>
    <row r="475" spans="1:3" x14ac:dyDescent="0.25">
      <c r="A475" s="1131" t="s">
        <v>1560</v>
      </c>
      <c r="B475" s="1131" t="s">
        <v>1499</v>
      </c>
      <c r="C475" s="1145">
        <f>'CPCA-I-02'!F14-'CPCA-I-02'!G14</f>
        <v>0</v>
      </c>
    </row>
    <row r="476" spans="1:3" ht="24" x14ac:dyDescent="0.25">
      <c r="A476" s="1131" t="s">
        <v>1561</v>
      </c>
      <c r="B476" s="1131" t="s">
        <v>1562</v>
      </c>
      <c r="C476" s="1145">
        <f>'CPCA-I-02'!F15-'CPCA-I-02'!G15</f>
        <v>0</v>
      </c>
    </row>
    <row r="477" spans="1:3" x14ac:dyDescent="0.25">
      <c r="A477" s="1131" t="s">
        <v>1563</v>
      </c>
      <c r="B477" s="1131" t="s">
        <v>1503</v>
      </c>
      <c r="C477" s="1136">
        <f>'CPCA-I-02'!F16-'CPCA-I-02'!G16</f>
        <v>6481751.5199999996</v>
      </c>
    </row>
    <row r="478" spans="1:3" x14ac:dyDescent="0.25">
      <c r="A478" s="1131" t="s">
        <v>1564</v>
      </c>
      <c r="B478" s="1131" t="s">
        <v>1565</v>
      </c>
      <c r="C478" s="1145">
        <f>'CPCA-I-02'!F17-'CPCA-I-02'!G17</f>
        <v>0</v>
      </c>
    </row>
    <row r="479" spans="1:3" x14ac:dyDescent="0.25">
      <c r="A479" s="1131" t="s">
        <v>1566</v>
      </c>
      <c r="B479" s="1131" t="s">
        <v>1507</v>
      </c>
      <c r="C479" s="1145">
        <f>'CPCA-I-02'!F18-'CPCA-I-02'!G18</f>
        <v>0</v>
      </c>
    </row>
    <row r="480" spans="1:3" x14ac:dyDescent="0.25">
      <c r="A480" s="1616" t="s">
        <v>2063</v>
      </c>
      <c r="B480" s="1616" t="s">
        <v>2064</v>
      </c>
      <c r="C480" s="1137" t="s">
        <v>1456</v>
      </c>
    </row>
    <row r="481" spans="1:3" x14ac:dyDescent="0.25">
      <c r="A481" s="1616"/>
      <c r="B481" s="1616"/>
      <c r="C481" s="1137" t="s">
        <v>1457</v>
      </c>
    </row>
    <row r="482" spans="1:3" x14ac:dyDescent="0.25">
      <c r="A482" s="1131" t="s">
        <v>2065</v>
      </c>
      <c r="B482" s="1131" t="s">
        <v>1971</v>
      </c>
      <c r="C482" s="1133">
        <v>0</v>
      </c>
    </row>
    <row r="483" spans="1:3" ht="24" x14ac:dyDescent="0.25">
      <c r="A483" s="1131" t="s">
        <v>2066</v>
      </c>
      <c r="B483" s="1131" t="s">
        <v>1973</v>
      </c>
      <c r="C483" s="1133">
        <v>0</v>
      </c>
    </row>
    <row r="484" spans="1:3" x14ac:dyDescent="0.25">
      <c r="A484" s="1131" t="s">
        <v>2067</v>
      </c>
      <c r="B484" s="1131" t="s">
        <v>1975</v>
      </c>
      <c r="C484" s="1133">
        <v>0</v>
      </c>
    </row>
    <row r="485" spans="1:3" x14ac:dyDescent="0.25">
      <c r="A485" s="1131" t="s">
        <v>2068</v>
      </c>
      <c r="B485" s="1131" t="s">
        <v>1977</v>
      </c>
      <c r="C485" s="1133">
        <v>0</v>
      </c>
    </row>
    <row r="486" spans="1:3" x14ac:dyDescent="0.25">
      <c r="A486" s="1131" t="s">
        <v>2069</v>
      </c>
      <c r="B486" s="1131" t="s">
        <v>1979</v>
      </c>
      <c r="C486" s="1133">
        <v>0</v>
      </c>
    </row>
    <row r="487" spans="1:3" ht="24" x14ac:dyDescent="0.25">
      <c r="A487" s="1131" t="s">
        <v>2070</v>
      </c>
      <c r="B487" s="1131" t="s">
        <v>2071</v>
      </c>
      <c r="C487" s="1131"/>
    </row>
    <row r="488" spans="1:3" ht="24" x14ac:dyDescent="0.25">
      <c r="A488" s="1131" t="s">
        <v>2072</v>
      </c>
      <c r="B488" s="1131" t="s">
        <v>2073</v>
      </c>
      <c r="C488" s="1131"/>
    </row>
    <row r="489" spans="1:3" ht="36" x14ac:dyDescent="0.25">
      <c r="A489" s="1131" t="s">
        <v>2074</v>
      </c>
      <c r="B489" s="1131" t="s">
        <v>2075</v>
      </c>
      <c r="C489" s="1133">
        <v>0</v>
      </c>
    </row>
    <row r="490" spans="1:3" ht="24" x14ac:dyDescent="0.25">
      <c r="A490" s="1131" t="s">
        <v>2076</v>
      </c>
      <c r="B490" s="1131" t="s">
        <v>2077</v>
      </c>
      <c r="C490" s="1133">
        <v>0</v>
      </c>
    </row>
    <row r="491" spans="1:3" ht="24" x14ac:dyDescent="0.25">
      <c r="A491" s="1131" t="s">
        <v>2078</v>
      </c>
      <c r="B491" s="1131" t="s">
        <v>2079</v>
      </c>
      <c r="C491" s="1131"/>
    </row>
    <row r="492" spans="1:3" ht="24" x14ac:dyDescent="0.25">
      <c r="A492" s="1131" t="s">
        <v>2080</v>
      </c>
      <c r="B492" s="1131" t="s">
        <v>2081</v>
      </c>
      <c r="C492" s="1133">
        <v>0</v>
      </c>
    </row>
    <row r="493" spans="1:3" ht="24" x14ac:dyDescent="0.25">
      <c r="A493" s="1131" t="s">
        <v>2082</v>
      </c>
      <c r="B493" s="1131" t="s">
        <v>2083</v>
      </c>
      <c r="C493" s="1133">
        <v>0</v>
      </c>
    </row>
    <row r="494" spans="1:3" x14ac:dyDescent="0.25">
      <c r="A494" s="1131" t="s">
        <v>2084</v>
      </c>
      <c r="B494" s="1131" t="s">
        <v>2085</v>
      </c>
      <c r="C494" s="1137" t="s">
        <v>1399</v>
      </c>
    </row>
    <row r="495" spans="1:3" x14ac:dyDescent="0.25">
      <c r="A495" s="1131" t="s">
        <v>2086</v>
      </c>
      <c r="B495" s="1131" t="s">
        <v>1997</v>
      </c>
      <c r="C495" s="1133">
        <v>0</v>
      </c>
    </row>
    <row r="496" spans="1:3" ht="24" x14ac:dyDescent="0.25">
      <c r="A496" s="1131" t="s">
        <v>2087</v>
      </c>
      <c r="B496" s="1131" t="s">
        <v>2088</v>
      </c>
      <c r="C496" s="1133">
        <v>0</v>
      </c>
    </row>
    <row r="497" spans="1:3" x14ac:dyDescent="0.25">
      <c r="A497" s="1131" t="s">
        <v>2089</v>
      </c>
      <c r="B497" s="1131" t="s">
        <v>304</v>
      </c>
      <c r="C497" s="1133">
        <v>0</v>
      </c>
    </row>
    <row r="498" spans="1:3" ht="9.75" customHeight="1" x14ac:dyDescent="0.25">
      <c r="A498" s="1131"/>
      <c r="B498" s="1131"/>
      <c r="C498" s="1131"/>
    </row>
    <row r="499" spans="1:3" x14ac:dyDescent="0.25">
      <c r="A499" s="1131" t="s">
        <v>2090</v>
      </c>
      <c r="B499" s="1131" t="s">
        <v>2091</v>
      </c>
      <c r="C499" s="1131"/>
    </row>
    <row r="500" spans="1:3" ht="24" x14ac:dyDescent="0.25">
      <c r="A500" s="1131" t="s">
        <v>2092</v>
      </c>
      <c r="B500" s="1131" t="s">
        <v>2093</v>
      </c>
      <c r="C500" s="1137" t="s">
        <v>1399</v>
      </c>
    </row>
    <row r="501" spans="1:3" x14ac:dyDescent="0.25">
      <c r="A501" s="1131" t="s">
        <v>2094</v>
      </c>
      <c r="B501" s="1131" t="s">
        <v>1493</v>
      </c>
      <c r="C501" s="1133">
        <v>0</v>
      </c>
    </row>
    <row r="502" spans="1:3" x14ac:dyDescent="0.25">
      <c r="A502" s="1131" t="s">
        <v>2095</v>
      </c>
      <c r="B502" s="1131" t="s">
        <v>1495</v>
      </c>
      <c r="C502" s="1133">
        <v>0</v>
      </c>
    </row>
    <row r="503" spans="1:3" ht="24" x14ac:dyDescent="0.25">
      <c r="A503" s="1131" t="s">
        <v>2096</v>
      </c>
      <c r="B503" s="1131" t="s">
        <v>2097</v>
      </c>
      <c r="C503" s="1131"/>
    </row>
    <row r="504" spans="1:3" x14ac:dyDescent="0.25">
      <c r="A504" s="1131" t="s">
        <v>2098</v>
      </c>
      <c r="B504" s="1131" t="s">
        <v>1971</v>
      </c>
      <c r="C504" s="1133">
        <v>0</v>
      </c>
    </row>
    <row r="505" spans="1:3" ht="24" x14ac:dyDescent="0.25">
      <c r="A505" s="1131" t="s">
        <v>2099</v>
      </c>
      <c r="B505" s="1131" t="s">
        <v>1973</v>
      </c>
      <c r="C505" s="1133">
        <v>0</v>
      </c>
    </row>
    <row r="506" spans="1:3" x14ac:dyDescent="0.25">
      <c r="A506" s="1131" t="s">
        <v>2100</v>
      </c>
      <c r="B506" s="1131" t="s">
        <v>1975</v>
      </c>
      <c r="C506" s="1133">
        <v>0</v>
      </c>
    </row>
    <row r="507" spans="1:3" ht="24" x14ac:dyDescent="0.25">
      <c r="A507" s="1131" t="s">
        <v>2101</v>
      </c>
      <c r="B507" s="1131" t="s">
        <v>2102</v>
      </c>
      <c r="C507" s="1131"/>
    </row>
    <row r="508" spans="1:3" ht="24" x14ac:dyDescent="0.25">
      <c r="A508" s="1131" t="s">
        <v>2103</v>
      </c>
      <c r="B508" s="1131" t="s">
        <v>2104</v>
      </c>
      <c r="C508" s="1131"/>
    </row>
    <row r="509" spans="1:3" ht="24" x14ac:dyDescent="0.25">
      <c r="A509" s="1131" t="s">
        <v>2105</v>
      </c>
      <c r="B509" s="1131" t="s">
        <v>2106</v>
      </c>
      <c r="C509" s="1133">
        <v>0</v>
      </c>
    </row>
    <row r="510" spans="1:3" ht="24" x14ac:dyDescent="0.25">
      <c r="A510" s="1131" t="s">
        <v>2107</v>
      </c>
      <c r="B510" s="1131" t="s">
        <v>2108</v>
      </c>
      <c r="C510" s="1133">
        <v>0</v>
      </c>
    </row>
    <row r="511" spans="1:3" ht="24" x14ac:dyDescent="0.25">
      <c r="A511" s="1131" t="s">
        <v>2109</v>
      </c>
      <c r="B511" s="1131" t="s">
        <v>1989</v>
      </c>
      <c r="C511" s="1131"/>
    </row>
    <row r="512" spans="1:3" ht="24" x14ac:dyDescent="0.25">
      <c r="A512" s="1131" t="s">
        <v>2110</v>
      </c>
      <c r="B512" s="1131" t="s">
        <v>2111</v>
      </c>
      <c r="C512" s="1133">
        <v>0</v>
      </c>
    </row>
    <row r="513" spans="1:3" ht="24" x14ac:dyDescent="0.25">
      <c r="A513" s="1131" t="s">
        <v>2112</v>
      </c>
      <c r="B513" s="1131" t="s">
        <v>2113</v>
      </c>
      <c r="C513" s="1133">
        <v>0</v>
      </c>
    </row>
    <row r="514" spans="1:3" x14ac:dyDescent="0.25">
      <c r="A514" s="1131" t="s">
        <v>2114</v>
      </c>
      <c r="B514" s="1131" t="s">
        <v>2115</v>
      </c>
      <c r="C514" s="1131"/>
    </row>
    <row r="515" spans="1:3" x14ac:dyDescent="0.25">
      <c r="A515" s="1131" t="s">
        <v>2116</v>
      </c>
      <c r="B515" s="1131" t="s">
        <v>1997</v>
      </c>
      <c r="C515" s="1133">
        <v>0</v>
      </c>
    </row>
    <row r="516" spans="1:3" ht="24" x14ac:dyDescent="0.25">
      <c r="A516" s="1131" t="s">
        <v>2117</v>
      </c>
      <c r="B516" s="1131" t="s">
        <v>2088</v>
      </c>
      <c r="C516" s="1133">
        <v>0</v>
      </c>
    </row>
    <row r="517" spans="1:3" x14ac:dyDescent="0.25">
      <c r="A517" s="1131" t="s">
        <v>2118</v>
      </c>
      <c r="B517" s="1131" t="s">
        <v>304</v>
      </c>
      <c r="C517" s="1133">
        <v>0</v>
      </c>
    </row>
    <row r="518" spans="1:3" x14ac:dyDescent="0.25">
      <c r="A518" s="1131"/>
      <c r="B518" s="1131"/>
      <c r="C518" s="1148">
        <f>C419+C420+C421+C422+C423+C424+C425+C433+C434+C435+C436+C439+C440+C462+C463+C471+C472+C473+C474+C475+C476+C477+C478+C479</f>
        <v>14393412.43</v>
      </c>
    </row>
    <row r="519" spans="1:3" x14ac:dyDescent="0.25">
      <c r="A519" s="1130" t="s">
        <v>1567</v>
      </c>
      <c r="B519" s="1130" t="s">
        <v>1568</v>
      </c>
      <c r="C519" s="1131"/>
    </row>
    <row r="520" spans="1:3" x14ac:dyDescent="0.25">
      <c r="A520" s="1130"/>
      <c r="B520" s="1130"/>
      <c r="C520" s="1131"/>
    </row>
    <row r="521" spans="1:3" x14ac:dyDescent="0.25">
      <c r="A521" s="1130"/>
      <c r="B521" s="1130" t="s">
        <v>1569</v>
      </c>
      <c r="C521" s="1150">
        <f>C410-C518</f>
        <v>-8290816.4499999993</v>
      </c>
    </row>
    <row r="522" spans="1:3" ht="31.5" customHeight="1" x14ac:dyDescent="0.25">
      <c r="A522" s="1615" t="s">
        <v>2198</v>
      </c>
      <c r="B522" s="1615"/>
      <c r="C522" s="1615"/>
    </row>
    <row r="523" spans="1:3" ht="33.75" customHeight="1" x14ac:dyDescent="0.25">
      <c r="A523" s="1615" t="s">
        <v>2199</v>
      </c>
      <c r="B523" s="1615"/>
      <c r="C523" s="1615"/>
    </row>
    <row r="524" spans="1:3" x14ac:dyDescent="0.25">
      <c r="A524" s="1143"/>
      <c r="B524" s="1143"/>
      <c r="C524" s="1143"/>
    </row>
  </sheetData>
  <mergeCells count="49">
    <mergeCell ref="A106:A107"/>
    <mergeCell ref="B106:B107"/>
    <mergeCell ref="A1:C1"/>
    <mergeCell ref="A2:C2"/>
    <mergeCell ref="A3:C3"/>
    <mergeCell ref="A5:A6"/>
    <mergeCell ref="B5:B6"/>
    <mergeCell ref="A116:A117"/>
    <mergeCell ref="B116:B117"/>
    <mergeCell ref="A307:A308"/>
    <mergeCell ref="B307:B308"/>
    <mergeCell ref="A312:A313"/>
    <mergeCell ref="B312:B313"/>
    <mergeCell ref="A318:A319"/>
    <mergeCell ref="B318:B319"/>
    <mergeCell ref="A322:A324"/>
    <mergeCell ref="B322:B324"/>
    <mergeCell ref="A341:A342"/>
    <mergeCell ref="B341:B342"/>
    <mergeCell ref="A352:A353"/>
    <mergeCell ref="B352:B353"/>
    <mergeCell ref="A363:A364"/>
    <mergeCell ref="B363:B364"/>
    <mergeCell ref="A377:A378"/>
    <mergeCell ref="B377:B378"/>
    <mergeCell ref="A385:A386"/>
    <mergeCell ref="B385:B386"/>
    <mergeCell ref="A389:A390"/>
    <mergeCell ref="B389:B390"/>
    <mergeCell ref="A402:A403"/>
    <mergeCell ref="B402:B403"/>
    <mergeCell ref="A417:A418"/>
    <mergeCell ref="B417:B418"/>
    <mergeCell ref="A426:A427"/>
    <mergeCell ref="B426:B427"/>
    <mergeCell ref="A431:A432"/>
    <mergeCell ref="B431:B432"/>
    <mergeCell ref="A523:C523"/>
    <mergeCell ref="A437:A438"/>
    <mergeCell ref="B437:B438"/>
    <mergeCell ref="A441:A442"/>
    <mergeCell ref="B441:B442"/>
    <mergeCell ref="A459:A460"/>
    <mergeCell ref="B459:B460"/>
    <mergeCell ref="A469:A470"/>
    <mergeCell ref="B469:B470"/>
    <mergeCell ref="A480:A481"/>
    <mergeCell ref="B480:B481"/>
    <mergeCell ref="A522:C522"/>
  </mergeCells>
  <hyperlinks>
    <hyperlink ref="C28" location="_ftn1" display="_ftn1"/>
    <hyperlink ref="C68" location="_ftn1" display="_ftn1"/>
    <hyperlink ref="C76" location="_ftn2" display="_ftn2"/>
    <hyperlink ref="C116" location="_ftn1" display="_ftn1"/>
  </hyperlinks>
  <printOptions horizontalCentered="1"/>
  <pageMargins left="0.70866141732283472" right="0.70866141732283472" top="0.39370078740157483" bottom="0.39370078740157483" header="0.31496062992125984" footer="0.31496062992125984"/>
  <pageSetup scale="7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O29" sqref="O29"/>
    </sheetView>
  </sheetViews>
  <sheetFormatPr baseColWidth="10" defaultColWidth="11.42578125" defaultRowHeight="15" x14ac:dyDescent="0.25"/>
  <cols>
    <col min="6" max="6" width="26.42578125" customWidth="1"/>
    <col min="7" max="7" width="25.28515625" customWidth="1"/>
    <col min="8" max="8" width="11.7109375" customWidth="1"/>
  </cols>
  <sheetData/>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1:G71"/>
  <sheetViews>
    <sheetView view="pageBreakPreview" zoomScale="110" zoomScaleNormal="100" zoomScaleSheetLayoutView="110" workbookViewId="0">
      <selection activeCell="A5" sqref="A5:B5"/>
    </sheetView>
  </sheetViews>
  <sheetFormatPr baseColWidth="10" defaultColWidth="11.28515625" defaultRowHeight="16.5" x14ac:dyDescent="0.3"/>
  <cols>
    <col min="1" max="1" width="1.7109375" style="95" customWidth="1"/>
    <col min="2" max="2" width="101.7109375" style="95" bestFit="1" customWidth="1"/>
    <col min="3" max="3" width="18.28515625" style="95" customWidth="1"/>
    <col min="4" max="4" width="18" style="413" customWidth="1"/>
    <col min="5" max="5" width="59.28515625" style="94" customWidth="1"/>
    <col min="6" max="6" width="22.7109375" style="94" customWidth="1"/>
    <col min="7" max="16384" width="11.28515625" style="94"/>
  </cols>
  <sheetData>
    <row r="1" spans="1:7" s="93" customFormat="1" ht="20.25" x14ac:dyDescent="0.3">
      <c r="A1" s="1214" t="str">
        <f>'CPCA-I-01'!A1</f>
        <v>RADIO SONORA</v>
      </c>
      <c r="B1" s="1214"/>
      <c r="C1" s="1214"/>
      <c r="D1" s="1214"/>
      <c r="E1" s="401"/>
      <c r="G1" s="38"/>
    </row>
    <row r="2" spans="1:7" ht="15.75" x14ac:dyDescent="0.25">
      <c r="A2" s="1208" t="s">
        <v>1</v>
      </c>
      <c r="B2" s="1208"/>
      <c r="C2" s="1208"/>
      <c r="D2" s="1208"/>
    </row>
    <row r="3" spans="1:7" ht="15.75" x14ac:dyDescent="0.25">
      <c r="A3" s="1214"/>
      <c r="B3" s="1214"/>
      <c r="C3" s="1214"/>
      <c r="D3" s="1214"/>
    </row>
    <row r="4" spans="1:7" x14ac:dyDescent="0.25">
      <c r="A4" s="1209" t="s">
        <v>2273</v>
      </c>
      <c r="B4" s="1209"/>
      <c r="C4" s="1209"/>
      <c r="D4" s="1209"/>
    </row>
    <row r="5" spans="1:7" s="95" customFormat="1" ht="17.25" thickBot="1" x14ac:dyDescent="0.35">
      <c r="A5" s="1215" t="s">
        <v>197</v>
      </c>
      <c r="B5" s="1215"/>
      <c r="C5" s="38"/>
      <c r="D5" s="409"/>
    </row>
    <row r="6" spans="1:7" ht="27.75" customHeight="1" thickBot="1" x14ac:dyDescent="0.3">
      <c r="A6" s="1218"/>
      <c r="B6" s="1219"/>
      <c r="C6" s="799">
        <v>2023</v>
      </c>
      <c r="D6" s="799">
        <v>2022</v>
      </c>
    </row>
    <row r="7" spans="1:7" ht="17.25" thickTop="1" x14ac:dyDescent="0.25">
      <c r="A7" s="96" t="s">
        <v>198</v>
      </c>
      <c r="B7" s="97"/>
      <c r="C7" s="98"/>
      <c r="D7" s="557"/>
    </row>
    <row r="8" spans="1:7" x14ac:dyDescent="0.25">
      <c r="A8" s="99" t="s">
        <v>969</v>
      </c>
      <c r="B8" s="100"/>
      <c r="C8" s="503">
        <f>SUM(C9:C15)</f>
        <v>2987115.89</v>
      </c>
      <c r="D8" s="504">
        <f>SUM(D9:D15)</f>
        <v>2436360.37</v>
      </c>
    </row>
    <row r="9" spans="1:7" x14ac:dyDescent="0.25">
      <c r="A9" s="101"/>
      <c r="B9" s="102" t="s">
        <v>199</v>
      </c>
      <c r="C9" s="505">
        <v>0</v>
      </c>
      <c r="D9" s="506">
        <v>0</v>
      </c>
    </row>
    <row r="10" spans="1:7" x14ac:dyDescent="0.25">
      <c r="A10" s="101"/>
      <c r="B10" s="102" t="s">
        <v>200</v>
      </c>
      <c r="C10" s="505">
        <v>0</v>
      </c>
      <c r="D10" s="506">
        <v>0</v>
      </c>
    </row>
    <row r="11" spans="1:7" x14ac:dyDescent="0.25">
      <c r="A11" s="101"/>
      <c r="B11" s="102" t="s">
        <v>201</v>
      </c>
      <c r="C11" s="505">
        <v>0</v>
      </c>
      <c r="D11" s="506">
        <v>0</v>
      </c>
    </row>
    <row r="12" spans="1:7" x14ac:dyDescent="0.25">
      <c r="A12" s="101"/>
      <c r="B12" s="102" t="s">
        <v>202</v>
      </c>
      <c r="C12" s="505">
        <v>0</v>
      </c>
      <c r="D12" s="506">
        <v>0</v>
      </c>
    </row>
    <row r="13" spans="1:7" x14ac:dyDescent="0.25">
      <c r="A13" s="101"/>
      <c r="B13" s="102" t="s">
        <v>953</v>
      </c>
      <c r="C13" s="505">
        <v>0</v>
      </c>
      <c r="D13" s="506">
        <v>0</v>
      </c>
    </row>
    <row r="14" spans="1:7" x14ac:dyDescent="0.25">
      <c r="A14" s="101"/>
      <c r="B14" s="102" t="s">
        <v>954</v>
      </c>
      <c r="C14" s="505">
        <v>0</v>
      </c>
      <c r="D14" s="506">
        <v>0</v>
      </c>
    </row>
    <row r="15" spans="1:7" x14ac:dyDescent="0.25">
      <c r="A15" s="101"/>
      <c r="B15" s="102" t="s">
        <v>970</v>
      </c>
      <c r="C15" s="505">
        <v>2987115.89</v>
      </c>
      <c r="D15" s="505">
        <v>2436360.37</v>
      </c>
    </row>
    <row r="16" spans="1:7" ht="33" customHeight="1" x14ac:dyDescent="0.25">
      <c r="A16" s="1216" t="s">
        <v>955</v>
      </c>
      <c r="B16" s="1217"/>
      <c r="C16" s="503">
        <f>SUM(C17:C18)</f>
        <v>33638983.780000001</v>
      </c>
      <c r="D16" s="504">
        <f>SUM(D17:D18)</f>
        <v>31177659.539999999</v>
      </c>
    </row>
    <row r="17" spans="1:4" x14ac:dyDescent="0.25">
      <c r="A17" s="101"/>
      <c r="B17" s="102" t="s">
        <v>972</v>
      </c>
      <c r="C17" s="505">
        <v>0</v>
      </c>
      <c r="D17" s="506">
        <v>0</v>
      </c>
    </row>
    <row r="18" spans="1:4" x14ac:dyDescent="0.25">
      <c r="A18" s="101"/>
      <c r="B18" s="102" t="s">
        <v>971</v>
      </c>
      <c r="C18" s="1098">
        <v>33638983.780000001</v>
      </c>
      <c r="D18" s="1098">
        <v>31177659.539999999</v>
      </c>
    </row>
    <row r="19" spans="1:4" x14ac:dyDescent="0.25">
      <c r="A19" s="99" t="s">
        <v>204</v>
      </c>
      <c r="B19" s="100"/>
      <c r="C19" s="503">
        <f>SUM(C20:C24)</f>
        <v>0</v>
      </c>
      <c r="D19" s="504">
        <f>SUM(D20:D24)</f>
        <v>0</v>
      </c>
    </row>
    <row r="20" spans="1:4" x14ac:dyDescent="0.25">
      <c r="A20" s="101"/>
      <c r="B20" s="102" t="s">
        <v>205</v>
      </c>
      <c r="C20" s="505">
        <v>0</v>
      </c>
      <c r="D20" s="506">
        <v>0</v>
      </c>
    </row>
    <row r="21" spans="1:4" x14ac:dyDescent="0.25">
      <c r="A21" s="101"/>
      <c r="B21" s="102" t="s">
        <v>206</v>
      </c>
      <c r="C21" s="505">
        <v>0</v>
      </c>
      <c r="D21" s="506">
        <v>0</v>
      </c>
    </row>
    <row r="22" spans="1:4" x14ac:dyDescent="0.25">
      <c r="A22" s="101"/>
      <c r="B22" s="102" t="s">
        <v>207</v>
      </c>
      <c r="C22" s="505">
        <v>0</v>
      </c>
      <c r="D22" s="506">
        <v>0</v>
      </c>
    </row>
    <row r="23" spans="1:4" x14ac:dyDescent="0.25">
      <c r="A23" s="101"/>
      <c r="B23" s="102" t="s">
        <v>208</v>
      </c>
      <c r="C23" s="505">
        <v>0</v>
      </c>
      <c r="D23" s="506">
        <v>0</v>
      </c>
    </row>
    <row r="24" spans="1:4" x14ac:dyDescent="0.25">
      <c r="A24" s="101"/>
      <c r="B24" s="102" t="s">
        <v>209</v>
      </c>
      <c r="C24" s="505">
        <v>0</v>
      </c>
      <c r="D24" s="506">
        <v>0</v>
      </c>
    </row>
    <row r="25" spans="1:4" x14ac:dyDescent="0.25">
      <c r="A25" s="103" t="s">
        <v>210</v>
      </c>
      <c r="B25" s="104"/>
      <c r="C25" s="507">
        <f>C19+C16+C8</f>
        <v>36626099.670000002</v>
      </c>
      <c r="D25" s="508">
        <f>D19+D16+D8</f>
        <v>33614019.909999996</v>
      </c>
    </row>
    <row r="26" spans="1:4" x14ac:dyDescent="0.25">
      <c r="A26" s="101"/>
      <c r="B26" s="98"/>
      <c r="C26" s="505"/>
      <c r="D26" s="506"/>
    </row>
    <row r="27" spans="1:4" x14ac:dyDescent="0.25">
      <c r="A27" s="96" t="s">
        <v>211</v>
      </c>
      <c r="B27" s="97"/>
      <c r="C27" s="505"/>
      <c r="D27" s="506"/>
    </row>
    <row r="28" spans="1:4" x14ac:dyDescent="0.25">
      <c r="A28" s="99" t="s">
        <v>212</v>
      </c>
      <c r="B28" s="100"/>
      <c r="C28" s="503">
        <f>SUM(C29:C31)</f>
        <v>34534387.660000004</v>
      </c>
      <c r="D28" s="504">
        <f>SUM(D29:D31)</f>
        <v>31688432.739999998</v>
      </c>
    </row>
    <row r="29" spans="1:4" x14ac:dyDescent="0.25">
      <c r="A29" s="101"/>
      <c r="B29" s="102" t="s">
        <v>213</v>
      </c>
      <c r="C29" s="1099">
        <v>28503875.59</v>
      </c>
      <c r="D29" s="1099">
        <v>26912182.309999999</v>
      </c>
    </row>
    <row r="30" spans="1:4" x14ac:dyDescent="0.25">
      <c r="A30" s="101"/>
      <c r="B30" s="102" t="s">
        <v>214</v>
      </c>
      <c r="C30" s="1099">
        <v>1845778.03</v>
      </c>
      <c r="D30" s="1099">
        <v>1181932.8</v>
      </c>
    </row>
    <row r="31" spans="1:4" x14ac:dyDescent="0.25">
      <c r="A31" s="101"/>
      <c r="B31" s="102" t="s">
        <v>215</v>
      </c>
      <c r="C31" s="1099">
        <v>4184734.04</v>
      </c>
      <c r="D31" s="1099">
        <v>3594317.63</v>
      </c>
    </row>
    <row r="32" spans="1:4" x14ac:dyDescent="0.25">
      <c r="A32" s="99" t="s">
        <v>389</v>
      </c>
      <c r="B32" s="100"/>
      <c r="C32" s="503">
        <f>SUM(C33:C41)</f>
        <v>0</v>
      </c>
      <c r="D32" s="504">
        <f>SUM(D33:D41)</f>
        <v>0</v>
      </c>
    </row>
    <row r="33" spans="1:4" x14ac:dyDescent="0.25">
      <c r="A33" s="101"/>
      <c r="B33" s="102" t="s">
        <v>216</v>
      </c>
      <c r="C33" s="505">
        <v>0</v>
      </c>
      <c r="D33" s="506">
        <v>0</v>
      </c>
    </row>
    <row r="34" spans="1:4" x14ac:dyDescent="0.25">
      <c r="A34" s="101"/>
      <c r="B34" s="102" t="s">
        <v>217</v>
      </c>
      <c r="C34" s="505">
        <v>0</v>
      </c>
      <c r="D34" s="506">
        <v>0</v>
      </c>
    </row>
    <row r="35" spans="1:4" x14ac:dyDescent="0.25">
      <c r="A35" s="101"/>
      <c r="B35" s="102" t="s">
        <v>218</v>
      </c>
      <c r="C35" s="505">
        <v>0</v>
      </c>
      <c r="D35" s="506">
        <v>0</v>
      </c>
    </row>
    <row r="36" spans="1:4" x14ac:dyDescent="0.25">
      <c r="A36" s="101"/>
      <c r="B36" s="102" t="s">
        <v>219</v>
      </c>
      <c r="C36" s="505">
        <v>0</v>
      </c>
      <c r="D36" s="506">
        <v>0</v>
      </c>
    </row>
    <row r="37" spans="1:4" x14ac:dyDescent="0.25">
      <c r="A37" s="101"/>
      <c r="B37" s="102" t="s">
        <v>220</v>
      </c>
      <c r="C37" s="505">
        <v>0</v>
      </c>
      <c r="D37" s="506">
        <v>0</v>
      </c>
    </row>
    <row r="38" spans="1:4" x14ac:dyDescent="0.25">
      <c r="A38" s="101"/>
      <c r="B38" s="102" t="s">
        <v>221</v>
      </c>
      <c r="C38" s="505">
        <v>0</v>
      </c>
      <c r="D38" s="506">
        <v>0</v>
      </c>
    </row>
    <row r="39" spans="1:4" x14ac:dyDescent="0.25">
      <c r="A39" s="101"/>
      <c r="B39" s="102" t="s">
        <v>222</v>
      </c>
      <c r="C39" s="505">
        <v>0</v>
      </c>
      <c r="D39" s="506">
        <v>0</v>
      </c>
    </row>
    <row r="40" spans="1:4" x14ac:dyDescent="0.25">
      <c r="A40" s="101"/>
      <c r="B40" s="102" t="s">
        <v>223</v>
      </c>
      <c r="C40" s="505">
        <v>0</v>
      </c>
      <c r="D40" s="506">
        <v>0</v>
      </c>
    </row>
    <row r="41" spans="1:4" x14ac:dyDescent="0.25">
      <c r="A41" s="101"/>
      <c r="B41" s="102" t="s">
        <v>224</v>
      </c>
      <c r="C41" s="505">
        <v>0</v>
      </c>
      <c r="D41" s="506">
        <v>0</v>
      </c>
    </row>
    <row r="42" spans="1:4" x14ac:dyDescent="0.25">
      <c r="A42" s="99" t="s">
        <v>225</v>
      </c>
      <c r="B42" s="100"/>
      <c r="C42" s="503">
        <f>SUM(C43:C45)</f>
        <v>0</v>
      </c>
      <c r="D42" s="504">
        <f>SUM(D43:D45)</f>
        <v>0</v>
      </c>
    </row>
    <row r="43" spans="1:4" x14ac:dyDescent="0.25">
      <c r="A43" s="101"/>
      <c r="B43" s="102" t="s">
        <v>226</v>
      </c>
      <c r="C43" s="505">
        <v>0</v>
      </c>
      <c r="D43" s="506">
        <v>0</v>
      </c>
    </row>
    <row r="44" spans="1:4" x14ac:dyDescent="0.25">
      <c r="A44" s="101"/>
      <c r="B44" s="102" t="s">
        <v>67</v>
      </c>
      <c r="C44" s="505">
        <v>0</v>
      </c>
      <c r="D44" s="506">
        <v>0</v>
      </c>
    </row>
    <row r="45" spans="1:4" x14ac:dyDescent="0.25">
      <c r="A45" s="101"/>
      <c r="B45" s="102" t="s">
        <v>227</v>
      </c>
      <c r="C45" s="505">
        <v>0</v>
      </c>
      <c r="D45" s="506">
        <v>0</v>
      </c>
    </row>
    <row r="46" spans="1:4" x14ac:dyDescent="0.25">
      <c r="A46" s="99" t="s">
        <v>228</v>
      </c>
      <c r="B46" s="100"/>
      <c r="C46" s="503">
        <f>SUM(C47:C51)</f>
        <v>0</v>
      </c>
      <c r="D46" s="504">
        <f>SUM(D47:D51)</f>
        <v>0</v>
      </c>
    </row>
    <row r="47" spans="1:4" x14ac:dyDescent="0.25">
      <c r="A47" s="101"/>
      <c r="B47" s="102" t="s">
        <v>229</v>
      </c>
      <c r="C47" s="505">
        <v>0</v>
      </c>
      <c r="D47" s="506">
        <v>0</v>
      </c>
    </row>
    <row r="48" spans="1:4" x14ac:dyDescent="0.25">
      <c r="A48" s="101"/>
      <c r="B48" s="102" t="s">
        <v>230</v>
      </c>
      <c r="C48" s="505">
        <v>0</v>
      </c>
      <c r="D48" s="506">
        <v>0</v>
      </c>
    </row>
    <row r="49" spans="1:5" x14ac:dyDescent="0.25">
      <c r="A49" s="101"/>
      <c r="B49" s="102" t="s">
        <v>231</v>
      </c>
      <c r="C49" s="505">
        <v>0</v>
      </c>
      <c r="D49" s="506">
        <v>0</v>
      </c>
    </row>
    <row r="50" spans="1:5" x14ac:dyDescent="0.25">
      <c r="A50" s="101"/>
      <c r="B50" s="102" t="s">
        <v>232</v>
      </c>
      <c r="C50" s="505">
        <v>0</v>
      </c>
      <c r="D50" s="506">
        <v>0</v>
      </c>
    </row>
    <row r="51" spans="1:5" x14ac:dyDescent="0.25">
      <c r="A51" s="101"/>
      <c r="B51" s="102" t="s">
        <v>233</v>
      </c>
      <c r="C51" s="505">
        <v>0</v>
      </c>
      <c r="D51" s="506">
        <v>0</v>
      </c>
    </row>
    <row r="52" spans="1:5" x14ac:dyDescent="0.25">
      <c r="A52" s="99" t="s">
        <v>234</v>
      </c>
      <c r="B52" s="100"/>
      <c r="C52" s="507">
        <f>SUM(C53:C58)</f>
        <v>0</v>
      </c>
      <c r="D52" s="508">
        <f>SUM(D53:D58)</f>
        <v>109009.31</v>
      </c>
    </row>
    <row r="53" spans="1:5" x14ac:dyDescent="0.25">
      <c r="A53" s="101"/>
      <c r="B53" s="102" t="s">
        <v>235</v>
      </c>
      <c r="C53" s="505">
        <v>0</v>
      </c>
      <c r="D53" s="505">
        <v>109009.31</v>
      </c>
    </row>
    <row r="54" spans="1:5" x14ac:dyDescent="0.25">
      <c r="A54" s="101"/>
      <c r="B54" s="102" t="s">
        <v>236</v>
      </c>
      <c r="C54" s="505">
        <v>0</v>
      </c>
      <c r="D54" s="506">
        <v>0</v>
      </c>
    </row>
    <row r="55" spans="1:5" x14ac:dyDescent="0.25">
      <c r="A55" s="101"/>
      <c r="B55" s="102" t="s">
        <v>237</v>
      </c>
      <c r="C55" s="505">
        <v>0</v>
      </c>
      <c r="D55" s="506">
        <v>0</v>
      </c>
    </row>
    <row r="56" spans="1:5" x14ac:dyDescent="0.25">
      <c r="A56" s="101"/>
      <c r="B56" s="102" t="s">
        <v>973</v>
      </c>
      <c r="C56" s="505">
        <v>0</v>
      </c>
      <c r="D56" s="506">
        <v>0</v>
      </c>
    </row>
    <row r="57" spans="1:5" x14ac:dyDescent="0.25">
      <c r="A57" s="101"/>
      <c r="B57" s="102" t="s">
        <v>238</v>
      </c>
      <c r="C57" s="505">
        <v>0</v>
      </c>
      <c r="D57" s="506">
        <v>0</v>
      </c>
    </row>
    <row r="58" spans="1:5" x14ac:dyDescent="0.25">
      <c r="A58" s="101"/>
      <c r="B58" s="102" t="s">
        <v>239</v>
      </c>
      <c r="C58" s="505">
        <v>0</v>
      </c>
      <c r="D58" s="506">
        <v>0</v>
      </c>
    </row>
    <row r="59" spans="1:5" x14ac:dyDescent="0.25">
      <c r="A59" s="99" t="s">
        <v>240</v>
      </c>
      <c r="B59" s="100"/>
      <c r="C59" s="507">
        <f>C60</f>
        <v>0</v>
      </c>
      <c r="D59" s="508">
        <f>D60</f>
        <v>0</v>
      </c>
    </row>
    <row r="60" spans="1:5" x14ac:dyDescent="0.25">
      <c r="A60" s="101"/>
      <c r="B60" s="102" t="s">
        <v>241</v>
      </c>
      <c r="C60" s="505">
        <v>0</v>
      </c>
      <c r="D60" s="506">
        <v>0</v>
      </c>
    </row>
    <row r="61" spans="1:5" x14ac:dyDescent="0.25">
      <c r="A61" s="101"/>
      <c r="B61" s="105"/>
      <c r="C61" s="505"/>
      <c r="D61" s="506"/>
    </row>
    <row r="62" spans="1:5" x14ac:dyDescent="0.25">
      <c r="A62" s="99" t="s">
        <v>242</v>
      </c>
      <c r="B62" s="100"/>
      <c r="C62" s="507">
        <f>C59+C52+C46+C32+C28+C42</f>
        <v>34534387.660000004</v>
      </c>
      <c r="D62" s="508">
        <f>D59+D52+D46+D32+D28+D42</f>
        <v>31797442.049999997</v>
      </c>
    </row>
    <row r="63" spans="1:5" x14ac:dyDescent="0.25">
      <c r="A63" s="101"/>
      <c r="B63" s="105"/>
      <c r="C63" s="505"/>
      <c r="D63" s="506"/>
    </row>
    <row r="64" spans="1:5" ht="20.25" x14ac:dyDescent="0.3">
      <c r="A64" s="99" t="s">
        <v>243</v>
      </c>
      <c r="B64" s="100"/>
      <c r="C64" s="507">
        <f>C25-C62</f>
        <v>2091712.0099999979</v>
      </c>
      <c r="D64" s="508">
        <f>D25-D62</f>
        <v>1816577.8599999994</v>
      </c>
      <c r="E64" s="414" t="str">
        <f>IF((C64-'CPCA-I-01'!F41)&gt;0.9,"ERROR!!!, NO COINCIDEN LOS MONTOS CON LO REPORTADO EN EL FORMATO ETCA-I-01","")</f>
        <v/>
      </c>
    </row>
    <row r="65" spans="1:5" ht="21" thickBot="1" x14ac:dyDescent="0.35">
      <c r="A65" s="106"/>
      <c r="B65" s="107"/>
      <c r="C65" s="1030"/>
      <c r="D65" s="410"/>
      <c r="E65" s="414" t="str">
        <f>IF((D64-'CPCA-I-01'!G41)&gt;0.9,"ERROR!!!, NO COINCIDEN LOS MONTOS CON LO REPORTADO EN EL FORMATO ETCA-I-01","")</f>
        <v/>
      </c>
    </row>
    <row r="66" spans="1:5" s="403" customFormat="1" ht="16.5" customHeight="1" x14ac:dyDescent="0.25">
      <c r="A66" s="105"/>
      <c r="B66" s="461" t="s">
        <v>244</v>
      </c>
      <c r="C66" s="105"/>
      <c r="D66" s="462"/>
    </row>
    <row r="67" spans="1:5" s="403" customFormat="1" ht="16.5" customHeight="1" x14ac:dyDescent="0.25">
      <c r="A67" s="105"/>
      <c r="B67" s="105"/>
      <c r="C67" s="105" t="s">
        <v>245</v>
      </c>
      <c r="D67" s="462"/>
    </row>
    <row r="68" spans="1:5" s="403" customFormat="1" ht="16.5" customHeight="1" x14ac:dyDescent="0.25">
      <c r="A68" s="105"/>
      <c r="B68" s="105" t="s">
        <v>245</v>
      </c>
      <c r="C68" s="105" t="s">
        <v>245</v>
      </c>
      <c r="D68" s="462"/>
    </row>
    <row r="69" spans="1:5" s="403" customFormat="1" ht="16.5" customHeight="1" x14ac:dyDescent="0.25">
      <c r="A69" s="105"/>
      <c r="B69" s="105"/>
      <c r="C69" s="105"/>
      <c r="D69" s="462"/>
    </row>
    <row r="70" spans="1:5" s="403" customFormat="1" ht="16.5" customHeight="1" x14ac:dyDescent="0.3">
      <c r="A70" s="402"/>
      <c r="B70" s="37" t="s">
        <v>245</v>
      </c>
      <c r="C70" s="402"/>
      <c r="D70" s="411"/>
    </row>
    <row r="71" spans="1:5" x14ac:dyDescent="0.3">
      <c r="C71" s="87"/>
      <c r="D71" s="412" t="s">
        <v>82</v>
      </c>
    </row>
  </sheetData>
  <sheetProtection formatColumns="0" formatRows="0" insertHyperlinks="0"/>
  <mergeCells count="7">
    <mergeCell ref="A1:D1"/>
    <mergeCell ref="A5:B5"/>
    <mergeCell ref="A16:B16"/>
    <mergeCell ref="A6:B6"/>
    <mergeCell ref="A3:D3"/>
    <mergeCell ref="A2:D2"/>
    <mergeCell ref="A4:D4"/>
  </mergeCells>
  <printOptions horizontalCentered="1"/>
  <pageMargins left="0.47244094488188981" right="0.19685039370078741" top="0.39370078740157483" bottom="0.19685039370078741" header="0.31496062992125984" footer="0.19685039370078741"/>
  <pageSetup scale="61" orientation="portrait"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view="pageBreakPreview" zoomScaleNormal="100" zoomScaleSheetLayoutView="100" workbookViewId="0">
      <selection activeCell="D30" sqref="D30"/>
    </sheetView>
  </sheetViews>
  <sheetFormatPr baseColWidth="10" defaultColWidth="11.28515625" defaultRowHeight="16.5" x14ac:dyDescent="0.3"/>
  <cols>
    <col min="1" max="1" width="6.7109375" style="7" customWidth="1"/>
    <col min="2" max="2" width="25.7109375" style="7" customWidth="1"/>
    <col min="3" max="3" width="23.7109375" style="3" customWidth="1"/>
    <col min="4" max="4" width="23.28515625" style="3" customWidth="1"/>
    <col min="5" max="5" width="23" style="3" customWidth="1"/>
    <col min="6" max="6" width="168.85546875" style="3" customWidth="1"/>
    <col min="7" max="16384" width="11.28515625" style="3"/>
  </cols>
  <sheetData>
    <row r="1" spans="1:5" x14ac:dyDescent="0.3">
      <c r="A1" s="1607" t="s">
        <v>1028</v>
      </c>
      <c r="B1" s="1607"/>
      <c r="C1" s="1607"/>
      <c r="D1" s="1607"/>
      <c r="E1" s="1607"/>
    </row>
    <row r="2" spans="1:5" x14ac:dyDescent="0.3">
      <c r="A2" s="1523" t="s">
        <v>1018</v>
      </c>
      <c r="B2" s="1523"/>
      <c r="C2" s="1523"/>
      <c r="D2" s="1523"/>
      <c r="E2" s="1523"/>
    </row>
    <row r="3" spans="1:5" x14ac:dyDescent="0.3">
      <c r="A3" s="1607"/>
      <c r="B3" s="1607"/>
      <c r="C3" s="1607"/>
      <c r="D3" s="1607"/>
      <c r="E3" s="1607"/>
    </row>
    <row r="4" spans="1:5" x14ac:dyDescent="0.3">
      <c r="A4" s="1608" t="str">
        <f>'CPCA-II-15'!A4:C4</f>
        <v>AL 31 DE DICIEMBRE DE 2024</v>
      </c>
      <c r="B4" s="1608"/>
      <c r="C4" s="1608"/>
      <c r="D4" s="1608"/>
      <c r="E4" s="1608"/>
    </row>
    <row r="5" spans="1:5" x14ac:dyDescent="0.3">
      <c r="A5" s="25"/>
      <c r="B5" s="1621" t="s">
        <v>864</v>
      </c>
      <c r="C5" s="1621"/>
      <c r="D5" s="1621"/>
      <c r="E5" s="34"/>
    </row>
    <row r="6" spans="1:5" x14ac:dyDescent="0.3">
      <c r="A6" s="25"/>
      <c r="B6" s="961"/>
      <c r="C6" s="961"/>
      <c r="D6" s="961"/>
      <c r="E6" s="34"/>
    </row>
    <row r="7" spans="1:5" ht="33" customHeight="1" x14ac:dyDescent="0.3">
      <c r="A7" s="1622" t="s">
        <v>1356</v>
      </c>
      <c r="B7" s="1623"/>
      <c r="C7" s="1623"/>
      <c r="D7" s="1623"/>
      <c r="E7" s="1624"/>
    </row>
    <row r="8" spans="1:5" ht="32.25" customHeight="1" x14ac:dyDescent="0.3">
      <c r="A8" s="1619" t="s">
        <v>866</v>
      </c>
      <c r="B8" s="1619"/>
      <c r="C8" s="1619"/>
      <c r="D8" s="1619"/>
      <c r="E8" s="1620" t="s">
        <v>1017</v>
      </c>
    </row>
    <row r="9" spans="1:5" x14ac:dyDescent="0.3">
      <c r="A9" s="957"/>
      <c r="B9" s="956" t="s">
        <v>867</v>
      </c>
      <c r="C9" s="956" t="s">
        <v>868</v>
      </c>
      <c r="D9" s="956" t="s">
        <v>308</v>
      </c>
      <c r="E9" s="1620"/>
    </row>
    <row r="10" spans="1:5" s="21" customFormat="1" ht="31.5" customHeight="1" x14ac:dyDescent="0.25">
      <c r="A10" s="996">
        <v>1</v>
      </c>
      <c r="B10" s="995" t="s">
        <v>1226</v>
      </c>
      <c r="C10" s="999" t="s">
        <v>1228</v>
      </c>
      <c r="D10" s="1000">
        <v>1843.15</v>
      </c>
      <c r="E10" s="330" t="s">
        <v>1233</v>
      </c>
    </row>
    <row r="11" spans="1:5" s="21" customFormat="1" ht="31.5" customHeight="1" x14ac:dyDescent="0.25">
      <c r="A11" s="997">
        <v>2</v>
      </c>
      <c r="B11" s="995" t="s">
        <v>1229</v>
      </c>
      <c r="C11" s="999" t="s">
        <v>1230</v>
      </c>
      <c r="D11" s="998">
        <v>2890795.99</v>
      </c>
      <c r="E11" s="330" t="s">
        <v>1233</v>
      </c>
    </row>
    <row r="12" spans="1:5" s="21" customFormat="1" ht="31.5" customHeight="1" x14ac:dyDescent="0.25">
      <c r="A12" s="997">
        <v>3</v>
      </c>
      <c r="B12" s="995" t="s">
        <v>1231</v>
      </c>
      <c r="C12" s="999" t="s">
        <v>1232</v>
      </c>
      <c r="D12" s="998">
        <v>436833.24</v>
      </c>
      <c r="E12" s="330" t="s">
        <v>1233</v>
      </c>
    </row>
    <row r="13" spans="1:5" s="21" customFormat="1" ht="31.5" customHeight="1" x14ac:dyDescent="0.25">
      <c r="A13" s="22">
        <v>4</v>
      </c>
      <c r="B13" s="330"/>
      <c r="C13" s="330"/>
      <c r="D13" s="330"/>
      <c r="E13" s="330"/>
    </row>
    <row r="14" spans="1:5" s="21" customFormat="1" ht="31.5" customHeight="1" x14ac:dyDescent="0.25">
      <c r="A14" s="22">
        <v>5</v>
      </c>
      <c r="B14" s="330"/>
      <c r="C14" s="330"/>
      <c r="D14" s="330"/>
      <c r="E14" s="330"/>
    </row>
    <row r="15" spans="1:5" s="21" customFormat="1" ht="31.5" customHeight="1" x14ac:dyDescent="0.25">
      <c r="A15" s="22">
        <v>6</v>
      </c>
      <c r="B15" s="330"/>
      <c r="C15" s="330"/>
      <c r="D15" s="330"/>
      <c r="E15" s="330"/>
    </row>
    <row r="16" spans="1:5" s="21" customFormat="1" ht="31.5" customHeight="1" x14ac:dyDescent="0.25">
      <c r="A16" s="22">
        <v>7</v>
      </c>
      <c r="B16" s="330"/>
      <c r="C16" s="330"/>
      <c r="D16" s="330"/>
      <c r="E16" s="330"/>
    </row>
    <row r="17" spans="1:6" s="21" customFormat="1" ht="31.5" customHeight="1" x14ac:dyDescent="0.25">
      <c r="A17" s="22">
        <v>8</v>
      </c>
      <c r="B17" s="330"/>
      <c r="C17" s="330"/>
      <c r="D17" s="330"/>
      <c r="E17" s="330"/>
    </row>
    <row r="18" spans="1:6" s="21" customFormat="1" ht="31.5" customHeight="1" x14ac:dyDescent="0.25">
      <c r="A18" s="22">
        <v>9</v>
      </c>
      <c r="B18" s="330"/>
      <c r="C18" s="330"/>
      <c r="D18" s="330"/>
      <c r="E18" s="330"/>
    </row>
    <row r="19" spans="1:6" s="21" customFormat="1" ht="31.5" customHeight="1" x14ac:dyDescent="0.25">
      <c r="A19" s="22">
        <v>10</v>
      </c>
      <c r="B19" s="330"/>
      <c r="C19" s="330"/>
      <c r="D19" s="330"/>
      <c r="E19" s="330"/>
    </row>
    <row r="20" spans="1:6" s="21" customFormat="1" ht="31.5" customHeight="1" x14ac:dyDescent="0.25">
      <c r="A20" s="22">
        <v>11</v>
      </c>
      <c r="B20" s="330"/>
      <c r="C20" s="330"/>
      <c r="D20" s="330"/>
      <c r="E20" s="330"/>
    </row>
    <row r="21" spans="1:6" s="21" customFormat="1" ht="31.5" customHeight="1" x14ac:dyDescent="0.25">
      <c r="A21" s="22">
        <v>12</v>
      </c>
      <c r="B21" s="330"/>
      <c r="C21" s="330"/>
      <c r="D21" s="330"/>
      <c r="E21" s="330"/>
    </row>
    <row r="22" spans="1:6" s="21" customFormat="1" ht="31.5" customHeight="1" x14ac:dyDescent="0.25">
      <c r="A22" s="22">
        <v>13</v>
      </c>
      <c r="B22" s="330"/>
      <c r="C22" s="330"/>
      <c r="D22" s="330"/>
      <c r="E22" s="330"/>
    </row>
    <row r="23" spans="1:6" s="21" customFormat="1" ht="31.5" customHeight="1" x14ac:dyDescent="0.25">
      <c r="A23" s="22">
        <v>14</v>
      </c>
      <c r="B23" s="330"/>
      <c r="C23" s="330"/>
      <c r="D23" s="330"/>
      <c r="E23" s="330"/>
    </row>
    <row r="24" spans="1:6" s="21" customFormat="1" ht="31.5" customHeight="1" x14ac:dyDescent="0.25">
      <c r="A24" s="22">
        <v>15</v>
      </c>
      <c r="B24" s="330"/>
      <c r="C24" s="330"/>
      <c r="D24" s="330"/>
      <c r="E24" s="330"/>
    </row>
    <row r="25" spans="1:6" s="21" customFormat="1" ht="31.5" customHeight="1" x14ac:dyDescent="0.25">
      <c r="A25" s="22">
        <v>16</v>
      </c>
      <c r="B25" s="330"/>
      <c r="C25" s="330"/>
      <c r="D25" s="330"/>
      <c r="E25" s="330"/>
    </row>
    <row r="26" spans="1:6" s="21" customFormat="1" ht="31.5" customHeight="1" x14ac:dyDescent="0.25">
      <c r="A26" s="22">
        <v>17</v>
      </c>
      <c r="B26" s="330"/>
      <c r="C26" s="330"/>
      <c r="D26" s="330"/>
      <c r="E26" s="330"/>
    </row>
    <row r="27" spans="1:6" s="21" customFormat="1" ht="31.5" customHeight="1" x14ac:dyDescent="0.25">
      <c r="A27" s="22">
        <v>18</v>
      </c>
      <c r="B27" s="330"/>
      <c r="C27" s="330"/>
      <c r="D27" s="330"/>
      <c r="E27" s="330"/>
    </row>
    <row r="28" spans="1:6" s="21" customFormat="1" ht="31.5" customHeight="1" x14ac:dyDescent="0.25">
      <c r="A28" s="22">
        <v>19</v>
      </c>
      <c r="B28" s="330"/>
      <c r="C28" s="330"/>
      <c r="D28" s="330"/>
      <c r="E28" s="330"/>
    </row>
    <row r="29" spans="1:6" s="21" customFormat="1" ht="31.5" customHeight="1" x14ac:dyDescent="0.25">
      <c r="A29" s="22">
        <v>20</v>
      </c>
      <c r="B29" s="330"/>
      <c r="C29" s="330"/>
      <c r="D29" s="330"/>
      <c r="E29" s="330"/>
    </row>
    <row r="30" spans="1:6" s="21" customFormat="1" ht="18.75" customHeight="1" x14ac:dyDescent="0.25">
      <c r="A30" s="958"/>
      <c r="B30" s="959"/>
      <c r="C30" s="964" t="s">
        <v>760</v>
      </c>
      <c r="D30" s="1031">
        <f>SUM(D10:D29)</f>
        <v>3329472.38</v>
      </c>
      <c r="E30" s="960"/>
      <c r="F30" s="963" t="str">
        <f>IF(D30='CPCA-I-02'!$B$11,"","VALOR INCORRECTO, DEBE SER IGUAL A LO REPORTADO EN ETCA-I-02 EN LA CUENTA a2) BANCOS/TESORERÍA")</f>
        <v/>
      </c>
    </row>
    <row r="31" spans="1:6" s="419" customFormat="1" ht="15" customHeight="1" x14ac:dyDescent="0.2">
      <c r="A31" s="965" t="s">
        <v>81</v>
      </c>
    </row>
    <row r="32" spans="1:6" x14ac:dyDescent="0.3">
      <c r="A32" s="965" t="s">
        <v>1023</v>
      </c>
    </row>
    <row r="33" spans="1:6" s="419" customFormat="1" ht="12.75" x14ac:dyDescent="0.2">
      <c r="A33" s="965" t="s">
        <v>1022</v>
      </c>
    </row>
    <row r="34" spans="1:6" x14ac:dyDescent="0.3">
      <c r="A34" s="3"/>
      <c r="B34" s="3"/>
    </row>
    <row r="35" spans="1:6" ht="33" customHeight="1" x14ac:dyDescent="0.3">
      <c r="A35" s="1622" t="s">
        <v>1019</v>
      </c>
      <c r="B35" s="1623"/>
      <c r="C35" s="1623"/>
      <c r="D35" s="1623"/>
      <c r="E35" s="1624"/>
    </row>
    <row r="36" spans="1:6" ht="18" x14ac:dyDescent="0.3">
      <c r="A36" s="1619" t="s">
        <v>866</v>
      </c>
      <c r="B36" s="1619"/>
      <c r="C36" s="1619"/>
      <c r="D36" s="1619"/>
      <c r="E36" s="1620" t="s">
        <v>1017</v>
      </c>
    </row>
    <row r="37" spans="1:6" x14ac:dyDescent="0.3">
      <c r="A37" s="957"/>
      <c r="B37" s="956" t="s">
        <v>867</v>
      </c>
      <c r="C37" s="956" t="s">
        <v>868</v>
      </c>
      <c r="D37" s="956" t="s">
        <v>308</v>
      </c>
      <c r="E37" s="1620"/>
    </row>
    <row r="38" spans="1:6" x14ac:dyDescent="0.3">
      <c r="A38" s="22">
        <v>1</v>
      </c>
      <c r="B38" s="330"/>
      <c r="C38" s="330"/>
      <c r="D38" s="330"/>
      <c r="E38" s="330"/>
    </row>
    <row r="39" spans="1:6" x14ac:dyDescent="0.3">
      <c r="A39" s="22">
        <v>2</v>
      </c>
      <c r="B39" s="330"/>
      <c r="C39" s="330"/>
      <c r="D39" s="330"/>
      <c r="E39" s="330"/>
    </row>
    <row r="40" spans="1:6" x14ac:dyDescent="0.3">
      <c r="A40" s="22">
        <v>3</v>
      </c>
      <c r="B40" s="330"/>
      <c r="C40" s="330"/>
      <c r="D40" s="330"/>
      <c r="E40" s="330"/>
    </row>
    <row r="41" spans="1:6" x14ac:dyDescent="0.3">
      <c r="A41" s="22">
        <v>4</v>
      </c>
      <c r="B41" s="330"/>
      <c r="C41" s="330"/>
      <c r="D41" s="330"/>
      <c r="E41" s="330"/>
    </row>
    <row r="42" spans="1:6" x14ac:dyDescent="0.3">
      <c r="A42" s="22">
        <v>5</v>
      </c>
      <c r="B42" s="330"/>
      <c r="C42" s="330"/>
      <c r="D42" s="330"/>
      <c r="E42" s="330"/>
    </row>
    <row r="43" spans="1:6" x14ac:dyDescent="0.3">
      <c r="A43" s="22">
        <v>6</v>
      </c>
      <c r="B43" s="330"/>
      <c r="C43" s="330"/>
      <c r="D43" s="330"/>
      <c r="E43" s="330"/>
    </row>
    <row r="44" spans="1:6" x14ac:dyDescent="0.3">
      <c r="A44" s="22">
        <v>7</v>
      </c>
      <c r="B44" s="330"/>
      <c r="C44" s="330"/>
      <c r="D44" s="330"/>
      <c r="E44" s="330"/>
    </row>
    <row r="45" spans="1:6" x14ac:dyDescent="0.3">
      <c r="A45" s="22">
        <v>8</v>
      </c>
      <c r="B45" s="330"/>
      <c r="C45" s="330"/>
      <c r="D45" s="330"/>
      <c r="E45" s="330"/>
    </row>
    <row r="46" spans="1:6" x14ac:dyDescent="0.3">
      <c r="A46" s="22">
        <v>9</v>
      </c>
      <c r="B46" s="330"/>
      <c r="C46" s="330"/>
      <c r="D46" s="330"/>
      <c r="E46" s="330"/>
    </row>
    <row r="47" spans="1:6" ht="18.75" x14ac:dyDescent="0.3">
      <c r="A47" s="958"/>
      <c r="B47" s="959"/>
      <c r="C47" s="964" t="s">
        <v>760</v>
      </c>
      <c r="D47" s="959">
        <f>SUM(D38:D46)</f>
        <v>0</v>
      </c>
      <c r="E47" s="960"/>
      <c r="F47" s="963" t="str">
        <f>IF(D47='CPCA-I-02'!$B$13,"","VALOR INCORRECTO, DEBE SER IGUAL A LO REPORTADO EN ETCA-I-02 EN LA CUENTA a4) INVERSIONES TEMPORALES (HASTA 3 MESES)")</f>
        <v/>
      </c>
    </row>
    <row r="49" spans="1:6" ht="33.75" customHeight="1" x14ac:dyDescent="0.3">
      <c r="A49" s="1622" t="s">
        <v>1020</v>
      </c>
      <c r="B49" s="1623"/>
      <c r="C49" s="1623"/>
      <c r="D49" s="1623"/>
      <c r="E49" s="1624"/>
    </row>
    <row r="50" spans="1:6" ht="18" customHeight="1" x14ac:dyDescent="0.3">
      <c r="A50" s="1619" t="s">
        <v>866</v>
      </c>
      <c r="B50" s="1619"/>
      <c r="C50" s="1619"/>
      <c r="D50" s="1619"/>
      <c r="E50" s="1620" t="s">
        <v>1017</v>
      </c>
    </row>
    <row r="51" spans="1:6" x14ac:dyDescent="0.3">
      <c r="A51" s="957"/>
      <c r="B51" s="956" t="s">
        <v>867</v>
      </c>
      <c r="C51" s="956" t="s">
        <v>868</v>
      </c>
      <c r="D51" s="956" t="s">
        <v>308</v>
      </c>
      <c r="E51" s="1620"/>
    </row>
    <row r="52" spans="1:6" x14ac:dyDescent="0.3">
      <c r="A52" s="22">
        <v>1</v>
      </c>
      <c r="B52" s="330"/>
      <c r="C52" s="330"/>
      <c r="D52" s="330"/>
      <c r="E52" s="330"/>
    </row>
    <row r="53" spans="1:6" x14ac:dyDescent="0.3">
      <c r="A53" s="22">
        <v>2</v>
      </c>
      <c r="B53" s="330"/>
      <c r="C53" s="330"/>
      <c r="D53" s="330"/>
      <c r="E53" s="330"/>
    </row>
    <row r="54" spans="1:6" x14ac:dyDescent="0.3">
      <c r="A54" s="22">
        <v>3</v>
      </c>
      <c r="B54" s="330"/>
      <c r="C54" s="330"/>
      <c r="D54" s="330"/>
      <c r="E54" s="330"/>
    </row>
    <row r="55" spans="1:6" x14ac:dyDescent="0.3">
      <c r="A55" s="22">
        <v>4</v>
      </c>
      <c r="B55" s="330"/>
      <c r="C55" s="330"/>
      <c r="D55" s="330"/>
      <c r="E55" s="330"/>
    </row>
    <row r="56" spans="1:6" x14ac:dyDescent="0.3">
      <c r="A56" s="22">
        <v>5</v>
      </c>
      <c r="B56" s="330"/>
      <c r="C56" s="330"/>
      <c r="D56" s="330"/>
      <c r="E56" s="330"/>
    </row>
    <row r="57" spans="1:6" x14ac:dyDescent="0.3">
      <c r="A57" s="22">
        <v>6</v>
      </c>
      <c r="B57" s="330"/>
      <c r="C57" s="330"/>
      <c r="D57" s="330"/>
      <c r="E57" s="330"/>
    </row>
    <row r="58" spans="1:6" x14ac:dyDescent="0.3">
      <c r="A58" s="22">
        <v>7</v>
      </c>
      <c r="B58" s="330"/>
      <c r="C58" s="330"/>
      <c r="D58" s="330"/>
      <c r="E58" s="330"/>
    </row>
    <row r="59" spans="1:6" x14ac:dyDescent="0.3">
      <c r="A59" s="22">
        <v>8</v>
      </c>
      <c r="B59" s="330"/>
      <c r="C59" s="330"/>
      <c r="D59" s="330"/>
      <c r="E59" s="330"/>
    </row>
    <row r="60" spans="1:6" x14ac:dyDescent="0.3">
      <c r="A60" s="22">
        <v>9</v>
      </c>
      <c r="B60" s="330"/>
      <c r="C60" s="330"/>
      <c r="D60" s="330"/>
      <c r="E60" s="330"/>
    </row>
    <row r="61" spans="1:6" ht="18.75" x14ac:dyDescent="0.3">
      <c r="A61" s="958"/>
      <c r="B61" s="959"/>
      <c r="C61" s="964" t="s">
        <v>760</v>
      </c>
      <c r="D61" s="959">
        <f>SUM(D52:D60)</f>
        <v>0</v>
      </c>
      <c r="E61" s="960"/>
      <c r="F61" s="963" t="str">
        <f>IF(D61='CPCA-I-02'!$B$18,"","VALOR INCORRECTO, DEBE SER IGUAL A LO REPORTADO EN ETCA-I-02 EN LA CUENTA b1) INVERSIONES FINANCIERAS DE CORTO PLAZO")</f>
        <v/>
      </c>
    </row>
    <row r="63" spans="1:6" ht="33.75" customHeight="1" x14ac:dyDescent="0.3">
      <c r="A63" s="1622" t="s">
        <v>1021</v>
      </c>
      <c r="B63" s="1623"/>
      <c r="C63" s="1623"/>
      <c r="D63" s="1623"/>
      <c r="E63" s="1624"/>
    </row>
    <row r="64" spans="1:6" ht="18" x14ac:dyDescent="0.3">
      <c r="A64" s="1619" t="s">
        <v>866</v>
      </c>
      <c r="B64" s="1619"/>
      <c r="C64" s="1619"/>
      <c r="D64" s="1619"/>
      <c r="E64" s="1620" t="s">
        <v>1017</v>
      </c>
    </row>
    <row r="65" spans="1:6" x14ac:dyDescent="0.3">
      <c r="A65" s="957"/>
      <c r="B65" s="956" t="s">
        <v>867</v>
      </c>
      <c r="C65" s="956" t="s">
        <v>868</v>
      </c>
      <c r="D65" s="956" t="s">
        <v>308</v>
      </c>
      <c r="E65" s="1620"/>
    </row>
    <row r="66" spans="1:6" x14ac:dyDescent="0.3">
      <c r="A66" s="22">
        <v>1</v>
      </c>
      <c r="B66" s="330"/>
      <c r="C66" s="330"/>
      <c r="D66" s="330"/>
      <c r="E66" s="330"/>
    </row>
    <row r="67" spans="1:6" x14ac:dyDescent="0.3">
      <c r="A67" s="22">
        <v>2</v>
      </c>
      <c r="B67" s="330"/>
      <c r="C67" s="330"/>
      <c r="D67" s="330"/>
      <c r="E67" s="330"/>
    </row>
    <row r="68" spans="1:6" x14ac:dyDescent="0.3">
      <c r="A68" s="22">
        <v>3</v>
      </c>
      <c r="B68" s="330"/>
      <c r="C68" s="330"/>
      <c r="D68" s="330"/>
      <c r="E68" s="330"/>
    </row>
    <row r="69" spans="1:6" x14ac:dyDescent="0.3">
      <c r="A69" s="22">
        <v>4</v>
      </c>
      <c r="B69" s="330"/>
      <c r="C69" s="330"/>
      <c r="D69" s="330"/>
      <c r="E69" s="330"/>
    </row>
    <row r="70" spans="1:6" x14ac:dyDescent="0.3">
      <c r="A70" s="22">
        <v>5</v>
      </c>
      <c r="B70" s="330"/>
      <c r="C70" s="330"/>
      <c r="D70" s="330"/>
      <c r="E70" s="330"/>
    </row>
    <row r="71" spans="1:6" x14ac:dyDescent="0.3">
      <c r="A71" s="22">
        <v>6</v>
      </c>
      <c r="B71" s="330"/>
      <c r="C71" s="330"/>
      <c r="D71" s="330"/>
      <c r="E71" s="330"/>
    </row>
    <row r="72" spans="1:6" x14ac:dyDescent="0.3">
      <c r="A72" s="22">
        <v>7</v>
      </c>
      <c r="B72" s="330"/>
      <c r="C72" s="330"/>
      <c r="D72" s="330"/>
      <c r="E72" s="330"/>
    </row>
    <row r="73" spans="1:6" x14ac:dyDescent="0.3">
      <c r="A73" s="22">
        <v>8</v>
      </c>
      <c r="B73" s="330"/>
      <c r="C73" s="330"/>
      <c r="D73" s="330"/>
      <c r="E73" s="330"/>
    </row>
    <row r="74" spans="1:6" x14ac:dyDescent="0.3">
      <c r="A74" s="22">
        <v>9</v>
      </c>
      <c r="B74" s="330"/>
      <c r="C74" s="330"/>
      <c r="D74" s="330"/>
      <c r="E74" s="330"/>
    </row>
    <row r="75" spans="1:6" ht="18.75" x14ac:dyDescent="0.3">
      <c r="A75" s="958"/>
      <c r="B75" s="959"/>
      <c r="C75" s="964" t="s">
        <v>760</v>
      </c>
      <c r="D75" s="959">
        <f>SUM(D66:D74)</f>
        <v>0</v>
      </c>
      <c r="E75" s="960"/>
      <c r="F75" s="963" t="str">
        <f>IF(D75='CPCA-I-02'!$B$48,"","VALOR INCORRECTO, DEBE SER IGUAL A LO REPORTADO EN ETCA-I-02 EN LA CUENTA a) INVERSIONES FINANCIERAS A LARGO PLAZO")</f>
        <v/>
      </c>
    </row>
    <row r="76" spans="1:6" x14ac:dyDescent="0.3">
      <c r="A76" s="965" t="s">
        <v>81</v>
      </c>
      <c r="B76" s="419"/>
      <c r="C76" s="32"/>
    </row>
    <row r="77" spans="1:6" x14ac:dyDescent="0.3">
      <c r="A77" s="965" t="s">
        <v>1023</v>
      </c>
      <c r="B77" s="419"/>
      <c r="C77" s="32"/>
    </row>
    <row r="78" spans="1:6" x14ac:dyDescent="0.3">
      <c r="A78" s="965" t="s">
        <v>1022</v>
      </c>
      <c r="B78" s="419"/>
      <c r="C78" s="419"/>
      <c r="D78" s="419"/>
      <c r="E78" s="419"/>
    </row>
    <row r="79" spans="1:6" x14ac:dyDescent="0.3">
      <c r="A79" s="419"/>
      <c r="B79" s="419"/>
      <c r="C79" s="419"/>
      <c r="D79" s="419"/>
      <c r="E79" s="419"/>
    </row>
    <row r="80" spans="1:6" ht="39" customHeight="1" x14ac:dyDescent="0.3">
      <c r="A80" s="962"/>
      <c r="B80" s="962"/>
      <c r="C80" s="962"/>
      <c r="D80" s="962"/>
      <c r="E80" s="962"/>
    </row>
    <row r="81" spans="1:5" ht="15.75" customHeight="1" x14ac:dyDescent="0.3">
      <c r="A81" s="962"/>
      <c r="B81" s="962"/>
      <c r="C81" s="962"/>
      <c r="D81" s="962"/>
      <c r="E81" s="962"/>
    </row>
  </sheetData>
  <mergeCells count="17">
    <mergeCell ref="A50:D50"/>
    <mergeCell ref="E50:E51"/>
    <mergeCell ref="A63:E63"/>
    <mergeCell ref="A64:D64"/>
    <mergeCell ref="E64:E65"/>
    <mergeCell ref="A36:D36"/>
    <mergeCell ref="A7:E7"/>
    <mergeCell ref="A35:E35"/>
    <mergeCell ref="E36:E37"/>
    <mergeCell ref="A49:E49"/>
    <mergeCell ref="A1:E1"/>
    <mergeCell ref="A2:E2"/>
    <mergeCell ref="A3:E3"/>
    <mergeCell ref="A4:E4"/>
    <mergeCell ref="A8:D8"/>
    <mergeCell ref="E8:E9"/>
    <mergeCell ref="B5:D5"/>
  </mergeCells>
  <printOptions horizontalCentered="1"/>
  <pageMargins left="0.39370078740157483" right="0.39370078740157483" top="0.74803149606299213" bottom="0.74803149606299213" header="0.31496062992125984" footer="0.31496062992125984"/>
  <pageSetup scale="8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8"/>
  <sheetViews>
    <sheetView workbookViewId="0">
      <selection activeCell="J5" sqref="J5"/>
    </sheetView>
  </sheetViews>
  <sheetFormatPr baseColWidth="10" defaultColWidth="11.42578125" defaultRowHeight="15" x14ac:dyDescent="0.25"/>
  <cols>
    <col min="1" max="1" width="15.7109375" style="1044" customWidth="1"/>
    <col min="2" max="4" width="4.5703125" style="1044" customWidth="1"/>
    <col min="5" max="5" width="13" style="1044" customWidth="1"/>
    <col min="6" max="6" width="7.7109375" style="1044" customWidth="1"/>
    <col min="7" max="8" width="6.42578125" style="1044" customWidth="1"/>
    <col min="9" max="9" width="12" style="1044" customWidth="1"/>
    <col min="10" max="10" width="6" style="1044" customWidth="1"/>
    <col min="11" max="12" width="6.42578125" style="1044" customWidth="1"/>
    <col min="13" max="13" width="7.85546875" style="1044" customWidth="1"/>
    <col min="14" max="14" width="8.85546875" style="1044" customWidth="1"/>
    <col min="15" max="15" width="8.28515625" style="1044" customWidth="1"/>
    <col min="16" max="22" width="16.28515625" style="1044" customWidth="1"/>
    <col min="23" max="16384" width="11.42578125" style="1044"/>
  </cols>
  <sheetData>
    <row r="1" spans="1:23" ht="24.75" customHeight="1" x14ac:dyDescent="0.25">
      <c r="A1" s="1182" t="s">
        <v>1016</v>
      </c>
      <c r="B1" s="1625" t="s">
        <v>1015</v>
      </c>
      <c r="C1" s="1626"/>
      <c r="D1" s="1626"/>
      <c r="E1" s="1626"/>
      <c r="F1" s="1626"/>
      <c r="G1" s="1626"/>
      <c r="H1" s="1627"/>
      <c r="I1" s="1628" t="s">
        <v>1014</v>
      </c>
      <c r="J1" s="1629"/>
      <c r="K1" s="1625" t="s">
        <v>1013</v>
      </c>
      <c r="L1" s="1626"/>
      <c r="M1" s="1626"/>
      <c r="N1" s="1626"/>
      <c r="O1" s="1627"/>
      <c r="P1" s="1625" t="s">
        <v>1012</v>
      </c>
      <c r="Q1" s="1626"/>
      <c r="R1" s="1626"/>
      <c r="S1" s="1626"/>
      <c r="T1" s="1626"/>
      <c r="U1" s="1626"/>
      <c r="V1" s="1627"/>
    </row>
    <row r="2" spans="1:23" ht="168" customHeight="1" thickBot="1" x14ac:dyDescent="0.3">
      <c r="A2" s="955" t="s">
        <v>1011</v>
      </c>
      <c r="B2" s="954" t="s">
        <v>1010</v>
      </c>
      <c r="C2" s="953" t="s">
        <v>1009</v>
      </c>
      <c r="D2" s="953" t="s">
        <v>1008</v>
      </c>
      <c r="E2" s="952" t="s">
        <v>1007</v>
      </c>
      <c r="F2" s="951" t="s">
        <v>1006</v>
      </c>
      <c r="G2" s="951" t="s">
        <v>1005</v>
      </c>
      <c r="H2" s="951" t="s">
        <v>1004</v>
      </c>
      <c r="I2" s="950" t="s">
        <v>1003</v>
      </c>
      <c r="J2" s="949" t="s">
        <v>1002</v>
      </c>
      <c r="K2" s="948" t="s">
        <v>1001</v>
      </c>
      <c r="L2" s="947" t="s">
        <v>1000</v>
      </c>
      <c r="M2" s="947" t="s">
        <v>999</v>
      </c>
      <c r="N2" s="947" t="s">
        <v>998</v>
      </c>
      <c r="O2" s="946" t="s">
        <v>997</v>
      </c>
      <c r="P2" s="945" t="s">
        <v>996</v>
      </c>
      <c r="Q2" s="944" t="s">
        <v>995</v>
      </c>
      <c r="R2" s="944" t="s">
        <v>994</v>
      </c>
      <c r="S2" s="943" t="s">
        <v>993</v>
      </c>
      <c r="T2" s="943" t="s">
        <v>992</v>
      </c>
      <c r="U2" s="943" t="s">
        <v>991</v>
      </c>
      <c r="V2" s="942" t="s">
        <v>990</v>
      </c>
    </row>
    <row r="3" spans="1:23" ht="15.75" thickBot="1" x14ac:dyDescent="0.3">
      <c r="A3" s="941">
        <v>10</v>
      </c>
      <c r="B3" s="941">
        <v>1</v>
      </c>
      <c r="C3" s="941">
        <v>1</v>
      </c>
      <c r="D3" s="941">
        <v>2</v>
      </c>
      <c r="E3" s="941">
        <v>7</v>
      </c>
      <c r="F3" s="941">
        <v>3</v>
      </c>
      <c r="G3" s="941">
        <v>1</v>
      </c>
      <c r="H3" s="941">
        <v>1</v>
      </c>
      <c r="I3" s="941">
        <v>5</v>
      </c>
      <c r="J3" s="941">
        <v>1</v>
      </c>
      <c r="K3" s="941">
        <v>2</v>
      </c>
      <c r="L3" s="941">
        <v>1</v>
      </c>
      <c r="M3" s="940">
        <v>1</v>
      </c>
      <c r="N3" s="940">
        <v>2</v>
      </c>
      <c r="O3" s="940">
        <v>2</v>
      </c>
      <c r="P3" s="940"/>
      <c r="Q3" s="940"/>
      <c r="R3" s="940"/>
      <c r="S3" s="940"/>
      <c r="T3" s="940"/>
      <c r="U3" s="940"/>
      <c r="V3" s="940"/>
    </row>
    <row r="4" spans="1:23" s="1129" customFormat="1" x14ac:dyDescent="0.25">
      <c r="A4" s="1125">
        <v>4081800100</v>
      </c>
      <c r="B4" s="1125">
        <v>2</v>
      </c>
      <c r="C4" s="1125">
        <v>4</v>
      </c>
      <c r="D4" s="1127" t="s">
        <v>2211</v>
      </c>
      <c r="E4" s="1126" t="s">
        <v>2253</v>
      </c>
      <c r="F4" s="1125">
        <v>287</v>
      </c>
      <c r="G4" s="1126" t="s">
        <v>753</v>
      </c>
      <c r="H4" s="1125">
        <v>1</v>
      </c>
      <c r="I4" s="1175" t="s">
        <v>1260</v>
      </c>
      <c r="J4" s="1126">
        <v>1</v>
      </c>
      <c r="K4" s="1125">
        <v>24</v>
      </c>
      <c r="L4" s="1125">
        <v>1</v>
      </c>
      <c r="M4" s="1125">
        <v>1</v>
      </c>
      <c r="N4" s="1126" t="s">
        <v>1259</v>
      </c>
      <c r="O4" s="1125">
        <v>13</v>
      </c>
      <c r="P4" s="1164">
        <v>1967570.41</v>
      </c>
      <c r="Q4" s="1164">
        <v>68629.75</v>
      </c>
      <c r="R4" s="1164">
        <v>2036200.16</v>
      </c>
      <c r="S4" s="1164">
        <v>2036200.16</v>
      </c>
      <c r="T4" s="1164">
        <v>2036200.16</v>
      </c>
      <c r="U4" s="1164">
        <v>2036200.16</v>
      </c>
      <c r="V4" s="1164">
        <v>2036200.16</v>
      </c>
      <c r="W4" s="1128"/>
    </row>
    <row r="5" spans="1:23" s="1129" customFormat="1" x14ac:dyDescent="0.25">
      <c r="A5" s="1125">
        <v>4081800100</v>
      </c>
      <c r="B5" s="1125">
        <v>2</v>
      </c>
      <c r="C5" s="1125">
        <v>4</v>
      </c>
      <c r="D5" s="1127" t="s">
        <v>2211</v>
      </c>
      <c r="E5" s="1126" t="s">
        <v>2253</v>
      </c>
      <c r="F5" s="1125">
        <v>287</v>
      </c>
      <c r="G5" s="1126" t="s">
        <v>753</v>
      </c>
      <c r="H5" s="1125">
        <v>1</v>
      </c>
      <c r="I5" s="1175" t="s">
        <v>1261</v>
      </c>
      <c r="J5" s="1126">
        <v>1</v>
      </c>
      <c r="K5" s="1125">
        <v>24</v>
      </c>
      <c r="L5" s="1125">
        <v>1</v>
      </c>
      <c r="M5" s="1125">
        <v>1</v>
      </c>
      <c r="N5" s="1126" t="s">
        <v>1259</v>
      </c>
      <c r="O5" s="1125">
        <v>13</v>
      </c>
      <c r="P5" s="1164">
        <v>12000</v>
      </c>
      <c r="Q5" s="1164">
        <v>-12000</v>
      </c>
      <c r="R5" s="1164">
        <v>0</v>
      </c>
      <c r="S5" s="1164">
        <v>0</v>
      </c>
      <c r="T5" s="1164">
        <v>0</v>
      </c>
      <c r="U5" s="1164">
        <v>0</v>
      </c>
      <c r="V5" s="1164">
        <v>0</v>
      </c>
      <c r="W5" s="1128"/>
    </row>
    <row r="6" spans="1:23" s="1129" customFormat="1" x14ac:dyDescent="0.25">
      <c r="A6" s="1125">
        <v>4081800100</v>
      </c>
      <c r="B6" s="1125">
        <v>2</v>
      </c>
      <c r="C6" s="1125">
        <v>4</v>
      </c>
      <c r="D6" s="1127" t="s">
        <v>2211</v>
      </c>
      <c r="E6" s="1126" t="s">
        <v>2253</v>
      </c>
      <c r="F6" s="1125">
        <v>287</v>
      </c>
      <c r="G6" s="1126" t="s">
        <v>753</v>
      </c>
      <c r="H6" s="1125">
        <v>1</v>
      </c>
      <c r="I6" s="1175" t="s">
        <v>1262</v>
      </c>
      <c r="J6" s="1126">
        <v>1</v>
      </c>
      <c r="K6" s="1125">
        <v>24</v>
      </c>
      <c r="L6" s="1125">
        <v>1</v>
      </c>
      <c r="M6" s="1125">
        <v>1</v>
      </c>
      <c r="N6" s="1126" t="s">
        <v>1259</v>
      </c>
      <c r="O6" s="1125">
        <v>13</v>
      </c>
      <c r="P6" s="1164">
        <v>26017.439999999999</v>
      </c>
      <c r="Q6" s="1164">
        <v>-19622.16</v>
      </c>
      <c r="R6" s="1164">
        <v>6395.28</v>
      </c>
      <c r="S6" s="1164">
        <v>6395.28</v>
      </c>
      <c r="T6" s="1164">
        <v>6395.28</v>
      </c>
      <c r="U6" s="1164">
        <v>6395.28</v>
      </c>
      <c r="V6" s="1164">
        <v>6395.28</v>
      </c>
      <c r="W6" s="1128"/>
    </row>
    <row r="7" spans="1:23" s="1129" customFormat="1" x14ac:dyDescent="0.25">
      <c r="A7" s="1125">
        <v>4081800100</v>
      </c>
      <c r="B7" s="1125">
        <v>2</v>
      </c>
      <c r="C7" s="1125">
        <v>4</v>
      </c>
      <c r="D7" s="1127" t="s">
        <v>2211</v>
      </c>
      <c r="E7" s="1126" t="s">
        <v>2253</v>
      </c>
      <c r="F7" s="1125">
        <v>287</v>
      </c>
      <c r="G7" s="1126" t="s">
        <v>753</v>
      </c>
      <c r="H7" s="1125">
        <v>1</v>
      </c>
      <c r="I7" s="1175" t="s">
        <v>1263</v>
      </c>
      <c r="J7" s="1126">
        <v>1</v>
      </c>
      <c r="K7" s="1125">
        <v>24</v>
      </c>
      <c r="L7" s="1125">
        <v>1</v>
      </c>
      <c r="M7" s="1125">
        <v>1</v>
      </c>
      <c r="N7" s="1126" t="s">
        <v>1259</v>
      </c>
      <c r="O7" s="1125">
        <v>13</v>
      </c>
      <c r="P7" s="1164">
        <v>587790.96</v>
      </c>
      <c r="Q7" s="1164">
        <v>-22569.45</v>
      </c>
      <c r="R7" s="1164">
        <v>565221.51</v>
      </c>
      <c r="S7" s="1164">
        <v>565221.51</v>
      </c>
      <c r="T7" s="1164">
        <v>565221.51</v>
      </c>
      <c r="U7" s="1164">
        <v>565221.51</v>
      </c>
      <c r="V7" s="1164">
        <v>565221.51</v>
      </c>
      <c r="W7" s="1128"/>
    </row>
    <row r="8" spans="1:23" s="1129" customFormat="1" x14ac:dyDescent="0.25">
      <c r="A8" s="1125">
        <v>4081800100</v>
      </c>
      <c r="B8" s="1125">
        <v>2</v>
      </c>
      <c r="C8" s="1125">
        <v>4</v>
      </c>
      <c r="D8" s="1127" t="s">
        <v>2211</v>
      </c>
      <c r="E8" s="1126" t="s">
        <v>2253</v>
      </c>
      <c r="F8" s="1125">
        <v>287</v>
      </c>
      <c r="G8" s="1126" t="s">
        <v>753</v>
      </c>
      <c r="H8" s="1125">
        <v>1</v>
      </c>
      <c r="I8" s="1175" t="s">
        <v>1264</v>
      </c>
      <c r="J8" s="1126">
        <v>1</v>
      </c>
      <c r="K8" s="1125">
        <v>24</v>
      </c>
      <c r="L8" s="1125">
        <v>1</v>
      </c>
      <c r="M8" s="1125">
        <v>1</v>
      </c>
      <c r="N8" s="1126" t="s">
        <v>1259</v>
      </c>
      <c r="O8" s="1125">
        <v>13</v>
      </c>
      <c r="P8" s="1164">
        <v>123197.27</v>
      </c>
      <c r="Q8" s="1164">
        <v>-104747.71</v>
      </c>
      <c r="R8" s="1164">
        <v>18449.560000000001</v>
      </c>
      <c r="S8" s="1164">
        <v>18449.560000000001</v>
      </c>
      <c r="T8" s="1164">
        <v>18449.560000000001</v>
      </c>
      <c r="U8" s="1164">
        <v>18449.560000000001</v>
      </c>
      <c r="V8" s="1164">
        <v>18449.560000000001</v>
      </c>
      <c r="W8" s="1128"/>
    </row>
    <row r="9" spans="1:23" s="1129" customFormat="1" x14ac:dyDescent="0.25">
      <c r="A9" s="1125">
        <v>4081800100</v>
      </c>
      <c r="B9" s="1125">
        <v>2</v>
      </c>
      <c r="C9" s="1125">
        <v>4</v>
      </c>
      <c r="D9" s="1127" t="s">
        <v>2211</v>
      </c>
      <c r="E9" s="1126" t="s">
        <v>2253</v>
      </c>
      <c r="F9" s="1125">
        <v>287</v>
      </c>
      <c r="G9" s="1126" t="s">
        <v>753</v>
      </c>
      <c r="H9" s="1125">
        <v>1</v>
      </c>
      <c r="I9" s="1175" t="s">
        <v>1265</v>
      </c>
      <c r="J9" s="1126">
        <v>1</v>
      </c>
      <c r="K9" s="1125">
        <v>24</v>
      </c>
      <c r="L9" s="1125">
        <v>1</v>
      </c>
      <c r="M9" s="1125">
        <v>1</v>
      </c>
      <c r="N9" s="1126" t="s">
        <v>1259</v>
      </c>
      <c r="O9" s="1125">
        <v>13</v>
      </c>
      <c r="P9" s="1164">
        <v>153125.75</v>
      </c>
      <c r="Q9" s="1164">
        <v>-4290.5600000000004</v>
      </c>
      <c r="R9" s="1164">
        <v>148835.19</v>
      </c>
      <c r="S9" s="1164">
        <v>148835.19</v>
      </c>
      <c r="T9" s="1164">
        <v>148835.19</v>
      </c>
      <c r="U9" s="1164">
        <v>148835.19</v>
      </c>
      <c r="V9" s="1164">
        <v>148835.19</v>
      </c>
      <c r="W9" s="1128"/>
    </row>
    <row r="10" spans="1:23" s="1129" customFormat="1" x14ac:dyDescent="0.25">
      <c r="A10" s="1125">
        <v>4081800100</v>
      </c>
      <c r="B10" s="1125">
        <v>2</v>
      </c>
      <c r="C10" s="1125">
        <v>4</v>
      </c>
      <c r="D10" s="1127" t="s">
        <v>2211</v>
      </c>
      <c r="E10" s="1126" t="s">
        <v>2253</v>
      </c>
      <c r="F10" s="1125">
        <v>287</v>
      </c>
      <c r="G10" s="1126" t="s">
        <v>753</v>
      </c>
      <c r="H10" s="1125">
        <v>1</v>
      </c>
      <c r="I10" s="1175" t="s">
        <v>1266</v>
      </c>
      <c r="J10" s="1126">
        <v>1</v>
      </c>
      <c r="K10" s="1125">
        <v>24</v>
      </c>
      <c r="L10" s="1125">
        <v>1</v>
      </c>
      <c r="M10" s="1125">
        <v>1</v>
      </c>
      <c r="N10" s="1126" t="s">
        <v>1259</v>
      </c>
      <c r="O10" s="1125">
        <v>13</v>
      </c>
      <c r="P10" s="1164">
        <v>357584.84</v>
      </c>
      <c r="Q10" s="1164">
        <v>100345.93</v>
      </c>
      <c r="R10" s="1164">
        <v>457930.77</v>
      </c>
      <c r="S10" s="1164">
        <v>457930.77</v>
      </c>
      <c r="T10" s="1164">
        <v>457930.77</v>
      </c>
      <c r="U10" s="1164">
        <v>457930.77</v>
      </c>
      <c r="V10" s="1164">
        <v>457930.77</v>
      </c>
      <c r="W10" s="1128"/>
    </row>
    <row r="11" spans="1:23" s="1129" customFormat="1" x14ac:dyDescent="0.25">
      <c r="A11" s="1125">
        <v>4081800100</v>
      </c>
      <c r="B11" s="1125">
        <v>2</v>
      </c>
      <c r="C11" s="1125">
        <v>4</v>
      </c>
      <c r="D11" s="1127" t="s">
        <v>2211</v>
      </c>
      <c r="E11" s="1126" t="s">
        <v>2253</v>
      </c>
      <c r="F11" s="1125">
        <v>287</v>
      </c>
      <c r="G11" s="1126" t="s">
        <v>753</v>
      </c>
      <c r="H11" s="1125">
        <v>1</v>
      </c>
      <c r="I11" s="1175" t="s">
        <v>2119</v>
      </c>
      <c r="J11" s="1126">
        <v>1</v>
      </c>
      <c r="K11" s="1125">
        <v>24</v>
      </c>
      <c r="L11" s="1125">
        <v>1</v>
      </c>
      <c r="M11" s="1125">
        <v>1</v>
      </c>
      <c r="N11" s="1126" t="s">
        <v>1259</v>
      </c>
      <c r="O11" s="1125">
        <v>13</v>
      </c>
      <c r="P11" s="1164">
        <v>38281.440000000002</v>
      </c>
      <c r="Q11" s="1164">
        <v>-4310.24</v>
      </c>
      <c r="R11" s="1164">
        <v>33971.199999999997</v>
      </c>
      <c r="S11" s="1164">
        <v>33971.199999999997</v>
      </c>
      <c r="T11" s="1164">
        <v>33971.199999999997</v>
      </c>
      <c r="U11" s="1164">
        <v>33971.199999999997</v>
      </c>
      <c r="V11" s="1164">
        <v>33971.199999999997</v>
      </c>
      <c r="W11" s="1128"/>
    </row>
    <row r="12" spans="1:23" s="1129" customFormat="1" x14ac:dyDescent="0.25">
      <c r="A12" s="1125">
        <v>4081800100</v>
      </c>
      <c r="B12" s="1125">
        <v>2</v>
      </c>
      <c r="C12" s="1125">
        <v>4</v>
      </c>
      <c r="D12" s="1127" t="s">
        <v>2211</v>
      </c>
      <c r="E12" s="1126" t="s">
        <v>2253</v>
      </c>
      <c r="F12" s="1125">
        <v>287</v>
      </c>
      <c r="G12" s="1126" t="s">
        <v>753</v>
      </c>
      <c r="H12" s="1125">
        <v>1</v>
      </c>
      <c r="I12" s="1175" t="s">
        <v>2120</v>
      </c>
      <c r="J12" s="1126">
        <v>1</v>
      </c>
      <c r="K12" s="1125">
        <v>24</v>
      </c>
      <c r="L12" s="1125">
        <v>1</v>
      </c>
      <c r="M12" s="1125">
        <v>1</v>
      </c>
      <c r="N12" s="1126" t="s">
        <v>1259</v>
      </c>
      <c r="O12" s="1125">
        <v>13</v>
      </c>
      <c r="P12" s="1164">
        <v>38281.440000000002</v>
      </c>
      <c r="Q12" s="1164">
        <v>-4310.24</v>
      </c>
      <c r="R12" s="1164">
        <v>33971.199999999997</v>
      </c>
      <c r="S12" s="1164">
        <v>33971.199999999997</v>
      </c>
      <c r="T12" s="1164">
        <v>33971.199999999997</v>
      </c>
      <c r="U12" s="1164">
        <v>33971.199999999997</v>
      </c>
      <c r="V12" s="1164">
        <v>33971.199999999997</v>
      </c>
      <c r="W12" s="1128"/>
    </row>
    <row r="13" spans="1:23" s="1129" customFormat="1" x14ac:dyDescent="0.25">
      <c r="A13" s="1125">
        <v>4081800100</v>
      </c>
      <c r="B13" s="1125">
        <v>2</v>
      </c>
      <c r="C13" s="1125">
        <v>4</v>
      </c>
      <c r="D13" s="1127" t="s">
        <v>2211</v>
      </c>
      <c r="E13" s="1126" t="s">
        <v>2253</v>
      </c>
      <c r="F13" s="1125">
        <v>287</v>
      </c>
      <c r="G13" s="1126" t="s">
        <v>753</v>
      </c>
      <c r="H13" s="1125">
        <v>1</v>
      </c>
      <c r="I13" s="1175" t="s">
        <v>1267</v>
      </c>
      <c r="J13" s="1126">
        <v>1</v>
      </c>
      <c r="K13" s="1125">
        <v>24</v>
      </c>
      <c r="L13" s="1125">
        <v>1</v>
      </c>
      <c r="M13" s="1125">
        <v>1</v>
      </c>
      <c r="N13" s="1126" t="s">
        <v>1259</v>
      </c>
      <c r="O13" s="1125">
        <v>13</v>
      </c>
      <c r="P13" s="1164">
        <v>123.12</v>
      </c>
      <c r="Q13" s="1164">
        <v>3.99</v>
      </c>
      <c r="R13" s="1164">
        <v>127.11</v>
      </c>
      <c r="S13" s="1164">
        <v>127.11</v>
      </c>
      <c r="T13" s="1164">
        <v>127.11</v>
      </c>
      <c r="U13" s="1164">
        <v>127.11</v>
      </c>
      <c r="V13" s="1164">
        <v>127.11</v>
      </c>
      <c r="W13" s="1128"/>
    </row>
    <row r="14" spans="1:23" s="1129" customFormat="1" x14ac:dyDescent="0.25">
      <c r="A14" s="1125">
        <v>4081800100</v>
      </c>
      <c r="B14" s="1125">
        <v>2</v>
      </c>
      <c r="C14" s="1125">
        <v>4</v>
      </c>
      <c r="D14" s="1127" t="s">
        <v>2211</v>
      </c>
      <c r="E14" s="1126" t="s">
        <v>2253</v>
      </c>
      <c r="F14" s="1125">
        <v>287</v>
      </c>
      <c r="G14" s="1126" t="s">
        <v>753</v>
      </c>
      <c r="H14" s="1125">
        <v>1</v>
      </c>
      <c r="I14" s="1175" t="s">
        <v>1268</v>
      </c>
      <c r="J14" s="1126">
        <v>1</v>
      </c>
      <c r="K14" s="1125">
        <v>24</v>
      </c>
      <c r="L14" s="1125">
        <v>1</v>
      </c>
      <c r="M14" s="1125">
        <v>1</v>
      </c>
      <c r="N14" s="1126" t="s">
        <v>1259</v>
      </c>
      <c r="O14" s="1125">
        <v>13</v>
      </c>
      <c r="P14" s="1164">
        <v>1226.8800000000001</v>
      </c>
      <c r="Q14" s="1164">
        <v>39.76</v>
      </c>
      <c r="R14" s="1164">
        <v>1266.6400000000001</v>
      </c>
      <c r="S14" s="1164">
        <v>1266.6400000000001</v>
      </c>
      <c r="T14" s="1164">
        <v>1266.6400000000001</v>
      </c>
      <c r="U14" s="1164">
        <v>1266.6400000000001</v>
      </c>
      <c r="V14" s="1164">
        <v>1266.6400000000001</v>
      </c>
      <c r="W14" s="1128"/>
    </row>
    <row r="15" spans="1:23" s="1129" customFormat="1" x14ac:dyDescent="0.25">
      <c r="A15" s="1125">
        <v>4081800100</v>
      </c>
      <c r="B15" s="1125">
        <v>2</v>
      </c>
      <c r="C15" s="1125">
        <v>4</v>
      </c>
      <c r="D15" s="1127" t="s">
        <v>2211</v>
      </c>
      <c r="E15" s="1126" t="s">
        <v>2253</v>
      </c>
      <c r="F15" s="1125">
        <v>287</v>
      </c>
      <c r="G15" s="1126" t="s">
        <v>753</v>
      </c>
      <c r="H15" s="1125">
        <v>1</v>
      </c>
      <c r="I15" s="1175" t="s">
        <v>1269</v>
      </c>
      <c r="J15" s="1126">
        <v>1</v>
      </c>
      <c r="K15" s="1125">
        <v>24</v>
      </c>
      <c r="L15" s="1125">
        <v>1</v>
      </c>
      <c r="M15" s="1125">
        <v>1</v>
      </c>
      <c r="N15" s="1126" t="s">
        <v>1259</v>
      </c>
      <c r="O15" s="1125">
        <v>13</v>
      </c>
      <c r="P15" s="1164">
        <v>16793.759999999998</v>
      </c>
      <c r="Q15" s="1164">
        <v>-644.54</v>
      </c>
      <c r="R15" s="1164">
        <v>16149.22</v>
      </c>
      <c r="S15" s="1164">
        <v>16149.22</v>
      </c>
      <c r="T15" s="1164">
        <v>16149.22</v>
      </c>
      <c r="U15" s="1164">
        <v>16149.22</v>
      </c>
      <c r="V15" s="1164">
        <v>16149.22</v>
      </c>
      <c r="W15" s="1128"/>
    </row>
    <row r="16" spans="1:23" s="1129" customFormat="1" x14ac:dyDescent="0.25">
      <c r="A16" s="1125">
        <v>4081800100</v>
      </c>
      <c r="B16" s="1125">
        <v>2</v>
      </c>
      <c r="C16" s="1125">
        <v>4</v>
      </c>
      <c r="D16" s="1127" t="s">
        <v>2211</v>
      </c>
      <c r="E16" s="1126" t="s">
        <v>2253</v>
      </c>
      <c r="F16" s="1125">
        <v>287</v>
      </c>
      <c r="G16" s="1126" t="s">
        <v>753</v>
      </c>
      <c r="H16" s="1125">
        <v>1</v>
      </c>
      <c r="I16" s="1175" t="s">
        <v>1270</v>
      </c>
      <c r="J16" s="1126">
        <v>1</v>
      </c>
      <c r="K16" s="1125">
        <v>24</v>
      </c>
      <c r="L16" s="1125">
        <v>1</v>
      </c>
      <c r="M16" s="1125">
        <v>1</v>
      </c>
      <c r="N16" s="1126" t="s">
        <v>1259</v>
      </c>
      <c r="O16" s="1125">
        <v>13</v>
      </c>
      <c r="P16" s="1164">
        <v>100763.76</v>
      </c>
      <c r="Q16" s="1164">
        <v>-3868.81</v>
      </c>
      <c r="R16" s="1164">
        <v>96894.95</v>
      </c>
      <c r="S16" s="1164">
        <v>96894.95</v>
      </c>
      <c r="T16" s="1164">
        <v>96894.95</v>
      </c>
      <c r="U16" s="1164">
        <v>96894.95</v>
      </c>
      <c r="V16" s="1164">
        <v>96894.95</v>
      </c>
      <c r="W16" s="1128"/>
    </row>
    <row r="17" spans="1:23" s="1129" customFormat="1" x14ac:dyDescent="0.25">
      <c r="A17" s="1125">
        <v>4081800100</v>
      </c>
      <c r="B17" s="1125">
        <v>2</v>
      </c>
      <c r="C17" s="1125">
        <v>4</v>
      </c>
      <c r="D17" s="1127" t="s">
        <v>2211</v>
      </c>
      <c r="E17" s="1126" t="s">
        <v>2253</v>
      </c>
      <c r="F17" s="1125">
        <v>287</v>
      </c>
      <c r="G17" s="1126" t="s">
        <v>753</v>
      </c>
      <c r="H17" s="1125">
        <v>1</v>
      </c>
      <c r="I17" s="1175" t="s">
        <v>1271</v>
      </c>
      <c r="J17" s="1126">
        <v>1</v>
      </c>
      <c r="K17" s="1125">
        <v>24</v>
      </c>
      <c r="L17" s="1125">
        <v>1</v>
      </c>
      <c r="M17" s="1125">
        <v>1</v>
      </c>
      <c r="N17" s="1126" t="s">
        <v>1259</v>
      </c>
      <c r="O17" s="1125">
        <v>13</v>
      </c>
      <c r="P17" s="1164">
        <v>33588.480000000003</v>
      </c>
      <c r="Q17" s="1164">
        <v>-1290.0899999999999</v>
      </c>
      <c r="R17" s="1164">
        <v>32298.39</v>
      </c>
      <c r="S17" s="1164">
        <v>32298.39</v>
      </c>
      <c r="T17" s="1164">
        <v>32298.39</v>
      </c>
      <c r="U17" s="1164">
        <v>32298.39</v>
      </c>
      <c r="V17" s="1164">
        <v>32298.39</v>
      </c>
      <c r="W17" s="1128"/>
    </row>
    <row r="18" spans="1:23" s="1129" customFormat="1" x14ac:dyDescent="0.25">
      <c r="A18" s="1125">
        <v>4081800100</v>
      </c>
      <c r="B18" s="1125">
        <v>2</v>
      </c>
      <c r="C18" s="1125">
        <v>4</v>
      </c>
      <c r="D18" s="1127" t="s">
        <v>2211</v>
      </c>
      <c r="E18" s="1126" t="s">
        <v>2253</v>
      </c>
      <c r="F18" s="1125">
        <v>287</v>
      </c>
      <c r="G18" s="1126" t="s">
        <v>753</v>
      </c>
      <c r="H18" s="1125">
        <v>1</v>
      </c>
      <c r="I18" s="1175" t="s">
        <v>1272</v>
      </c>
      <c r="J18" s="1126">
        <v>1</v>
      </c>
      <c r="K18" s="1125">
        <v>24</v>
      </c>
      <c r="L18" s="1125">
        <v>1</v>
      </c>
      <c r="M18" s="1125">
        <v>1</v>
      </c>
      <c r="N18" s="1126" t="s">
        <v>1259</v>
      </c>
      <c r="O18" s="1125">
        <v>13</v>
      </c>
      <c r="P18" s="1164">
        <v>0</v>
      </c>
      <c r="Q18" s="1164">
        <v>56764</v>
      </c>
      <c r="R18" s="1164">
        <v>56764</v>
      </c>
      <c r="S18" s="1164">
        <v>56764</v>
      </c>
      <c r="T18" s="1164">
        <v>56764</v>
      </c>
      <c r="U18" s="1164">
        <v>56764</v>
      </c>
      <c r="V18" s="1164">
        <v>56764</v>
      </c>
      <c r="W18" s="1128"/>
    </row>
    <row r="19" spans="1:23" s="1129" customFormat="1" x14ac:dyDescent="0.25">
      <c r="A19" s="1125">
        <v>4081800100</v>
      </c>
      <c r="B19" s="1125">
        <v>2</v>
      </c>
      <c r="C19" s="1125">
        <v>4</v>
      </c>
      <c r="D19" s="1127" t="s">
        <v>2211</v>
      </c>
      <c r="E19" s="1126" t="s">
        <v>2253</v>
      </c>
      <c r="F19" s="1125">
        <v>287</v>
      </c>
      <c r="G19" s="1126" t="s">
        <v>753</v>
      </c>
      <c r="H19" s="1125">
        <v>1</v>
      </c>
      <c r="I19" s="1175" t="s">
        <v>1273</v>
      </c>
      <c r="J19" s="1126">
        <v>1</v>
      </c>
      <c r="K19" s="1125">
        <v>24</v>
      </c>
      <c r="L19" s="1125">
        <v>1</v>
      </c>
      <c r="M19" s="1125">
        <v>1</v>
      </c>
      <c r="N19" s="1126" t="s">
        <v>1259</v>
      </c>
      <c r="O19" s="1125">
        <v>13</v>
      </c>
      <c r="P19" s="1164">
        <v>285498.23999999999</v>
      </c>
      <c r="Q19" s="1164">
        <v>61879.96</v>
      </c>
      <c r="R19" s="1164">
        <v>347378.2</v>
      </c>
      <c r="S19" s="1164">
        <v>347378.2</v>
      </c>
      <c r="T19" s="1164">
        <v>347378.2</v>
      </c>
      <c r="U19" s="1164">
        <v>347378.2</v>
      </c>
      <c r="V19" s="1164">
        <v>274536.27</v>
      </c>
      <c r="W19" s="1128"/>
    </row>
    <row r="20" spans="1:23" s="1129" customFormat="1" x14ac:dyDescent="0.25">
      <c r="A20" s="1125">
        <v>4081800100</v>
      </c>
      <c r="B20" s="1125">
        <v>2</v>
      </c>
      <c r="C20" s="1125">
        <v>4</v>
      </c>
      <c r="D20" s="1127" t="s">
        <v>2211</v>
      </c>
      <c r="E20" s="1126" t="s">
        <v>2253</v>
      </c>
      <c r="F20" s="1125">
        <v>287</v>
      </c>
      <c r="G20" s="1126" t="s">
        <v>753</v>
      </c>
      <c r="H20" s="1125">
        <v>1</v>
      </c>
      <c r="I20" s="1175" t="s">
        <v>1274</v>
      </c>
      <c r="J20" s="1126">
        <v>1</v>
      </c>
      <c r="K20" s="1125">
        <v>24</v>
      </c>
      <c r="L20" s="1125">
        <v>1</v>
      </c>
      <c r="M20" s="1125">
        <v>1</v>
      </c>
      <c r="N20" s="1126" t="s">
        <v>1259</v>
      </c>
      <c r="O20" s="1125">
        <v>13</v>
      </c>
      <c r="P20" s="1164">
        <v>16793.759999999998</v>
      </c>
      <c r="Q20" s="1164">
        <v>-644.54</v>
      </c>
      <c r="R20" s="1164">
        <v>16149.22</v>
      </c>
      <c r="S20" s="1164">
        <v>16149.22</v>
      </c>
      <c r="T20" s="1164">
        <v>16149.22</v>
      </c>
      <c r="U20" s="1164">
        <v>16149.22</v>
      </c>
      <c r="V20" s="1164">
        <v>16149.22</v>
      </c>
      <c r="W20" s="1128"/>
    </row>
    <row r="21" spans="1:23" s="1129" customFormat="1" x14ac:dyDescent="0.25">
      <c r="A21" s="1125">
        <v>4081800100</v>
      </c>
      <c r="B21" s="1125">
        <v>2</v>
      </c>
      <c r="C21" s="1125">
        <v>4</v>
      </c>
      <c r="D21" s="1127" t="s">
        <v>2211</v>
      </c>
      <c r="E21" s="1126" t="s">
        <v>2253</v>
      </c>
      <c r="F21" s="1125">
        <v>287</v>
      </c>
      <c r="G21" s="1126" t="s">
        <v>753</v>
      </c>
      <c r="H21" s="1125">
        <v>1</v>
      </c>
      <c r="I21" s="1175" t="s">
        <v>1275</v>
      </c>
      <c r="J21" s="1126">
        <v>1</v>
      </c>
      <c r="K21" s="1125">
        <v>24</v>
      </c>
      <c r="L21" s="1125">
        <v>1</v>
      </c>
      <c r="M21" s="1125">
        <v>1</v>
      </c>
      <c r="N21" s="1126" t="s">
        <v>1259</v>
      </c>
      <c r="O21" s="1125">
        <v>13</v>
      </c>
      <c r="P21" s="1164">
        <v>134352</v>
      </c>
      <c r="Q21" s="1164">
        <v>-5158.49</v>
      </c>
      <c r="R21" s="1164">
        <v>129193.51</v>
      </c>
      <c r="S21" s="1164">
        <v>129193.51</v>
      </c>
      <c r="T21" s="1164">
        <v>129193.51</v>
      </c>
      <c r="U21" s="1164">
        <v>129193.51</v>
      </c>
      <c r="V21" s="1164">
        <v>129193.51</v>
      </c>
      <c r="W21" s="1128"/>
    </row>
    <row r="22" spans="1:23" s="1129" customFormat="1" x14ac:dyDescent="0.25">
      <c r="A22" s="1125">
        <v>4081800100</v>
      </c>
      <c r="B22" s="1125">
        <v>2</v>
      </c>
      <c r="C22" s="1125">
        <v>4</v>
      </c>
      <c r="D22" s="1127" t="s">
        <v>2211</v>
      </c>
      <c r="E22" s="1126" t="s">
        <v>2253</v>
      </c>
      <c r="F22" s="1125">
        <v>287</v>
      </c>
      <c r="G22" s="1126" t="s">
        <v>753</v>
      </c>
      <c r="H22" s="1125">
        <v>1</v>
      </c>
      <c r="I22" s="1175" t="s">
        <v>1276</v>
      </c>
      <c r="J22" s="1126">
        <v>1</v>
      </c>
      <c r="K22" s="1125">
        <v>24</v>
      </c>
      <c r="L22" s="1125">
        <v>1</v>
      </c>
      <c r="M22" s="1125">
        <v>1</v>
      </c>
      <c r="N22" s="1126" t="s">
        <v>1259</v>
      </c>
      <c r="O22" s="1125">
        <v>13</v>
      </c>
      <c r="P22" s="1164">
        <v>570997.19999999995</v>
      </c>
      <c r="Q22" s="1164">
        <v>-21924.91</v>
      </c>
      <c r="R22" s="1164">
        <v>549072.29</v>
      </c>
      <c r="S22" s="1164">
        <v>549072.29</v>
      </c>
      <c r="T22" s="1164">
        <v>549072.29</v>
      </c>
      <c r="U22" s="1164">
        <v>549072.29</v>
      </c>
      <c r="V22" s="1164">
        <v>549072.29</v>
      </c>
      <c r="W22" s="1128"/>
    </row>
    <row r="23" spans="1:23" s="1129" customFormat="1" x14ac:dyDescent="0.25">
      <c r="A23" s="1125">
        <v>4081800100</v>
      </c>
      <c r="B23" s="1125">
        <v>2</v>
      </c>
      <c r="C23" s="1125">
        <v>4</v>
      </c>
      <c r="D23" s="1127" t="s">
        <v>2211</v>
      </c>
      <c r="E23" s="1126" t="s">
        <v>2253</v>
      </c>
      <c r="F23" s="1125">
        <v>287</v>
      </c>
      <c r="G23" s="1126" t="s">
        <v>753</v>
      </c>
      <c r="H23" s="1125">
        <v>1</v>
      </c>
      <c r="I23" s="1175" t="s">
        <v>1277</v>
      </c>
      <c r="J23" s="1126">
        <v>1</v>
      </c>
      <c r="K23" s="1125">
        <v>24</v>
      </c>
      <c r="L23" s="1125">
        <v>1</v>
      </c>
      <c r="M23" s="1125">
        <v>1</v>
      </c>
      <c r="N23" s="1126" t="s">
        <v>1259</v>
      </c>
      <c r="O23" s="1125">
        <v>13</v>
      </c>
      <c r="P23" s="1164">
        <v>2376</v>
      </c>
      <c r="Q23" s="1164">
        <v>42077</v>
      </c>
      <c r="R23" s="1164">
        <v>44453</v>
      </c>
      <c r="S23" s="1164">
        <v>44453</v>
      </c>
      <c r="T23" s="1164">
        <v>44453</v>
      </c>
      <c r="U23" s="1164">
        <v>44453</v>
      </c>
      <c r="V23" s="1164">
        <v>2453</v>
      </c>
      <c r="W23" s="1128"/>
    </row>
    <row r="24" spans="1:23" s="1129" customFormat="1" x14ac:dyDescent="0.25">
      <c r="A24" s="1125">
        <v>4081800100</v>
      </c>
      <c r="B24" s="1125">
        <v>2</v>
      </c>
      <c r="C24" s="1125">
        <v>4</v>
      </c>
      <c r="D24" s="1127" t="s">
        <v>2211</v>
      </c>
      <c r="E24" s="1126" t="s">
        <v>2253</v>
      </c>
      <c r="F24" s="1125">
        <v>287</v>
      </c>
      <c r="G24" s="1126" t="s">
        <v>753</v>
      </c>
      <c r="H24" s="1125">
        <v>1</v>
      </c>
      <c r="I24" s="1175" t="s">
        <v>2229</v>
      </c>
      <c r="J24" s="1126">
        <v>1</v>
      </c>
      <c r="K24" s="1125">
        <v>24</v>
      </c>
      <c r="L24" s="1125">
        <v>1</v>
      </c>
      <c r="M24" s="1125">
        <v>1</v>
      </c>
      <c r="N24" s="1126" t="s">
        <v>1259</v>
      </c>
      <c r="O24" s="1125">
        <v>13</v>
      </c>
      <c r="P24" s="1164">
        <v>54000</v>
      </c>
      <c r="Q24" s="1164">
        <v>-54000</v>
      </c>
      <c r="R24" s="1164">
        <v>0</v>
      </c>
      <c r="S24" s="1164">
        <v>0</v>
      </c>
      <c r="T24" s="1164">
        <v>0</v>
      </c>
      <c r="U24" s="1164">
        <v>0</v>
      </c>
      <c r="V24" s="1164">
        <v>0</v>
      </c>
      <c r="W24" s="1128"/>
    </row>
    <row r="25" spans="1:23" s="1129" customFormat="1" x14ac:dyDescent="0.25">
      <c r="A25" s="1125">
        <v>4081800100</v>
      </c>
      <c r="B25" s="1125">
        <v>2</v>
      </c>
      <c r="C25" s="1125">
        <v>4</v>
      </c>
      <c r="D25" s="1127" t="s">
        <v>2211</v>
      </c>
      <c r="E25" s="1126" t="s">
        <v>2253</v>
      </c>
      <c r="F25" s="1125">
        <v>287</v>
      </c>
      <c r="G25" s="1126" t="s">
        <v>753</v>
      </c>
      <c r="H25" s="1125">
        <v>1</v>
      </c>
      <c r="I25" s="1175" t="s">
        <v>1278</v>
      </c>
      <c r="J25" s="1126">
        <v>1</v>
      </c>
      <c r="K25" s="1125">
        <v>24</v>
      </c>
      <c r="L25" s="1125">
        <v>1</v>
      </c>
      <c r="M25" s="1125">
        <v>1</v>
      </c>
      <c r="N25" s="1126" t="s">
        <v>1259</v>
      </c>
      <c r="O25" s="1125">
        <v>13</v>
      </c>
      <c r="P25" s="1164">
        <v>516</v>
      </c>
      <c r="Q25" s="1164">
        <v>-387</v>
      </c>
      <c r="R25" s="1164">
        <v>129</v>
      </c>
      <c r="S25" s="1164">
        <v>129</v>
      </c>
      <c r="T25" s="1164">
        <v>129</v>
      </c>
      <c r="U25" s="1164">
        <v>129</v>
      </c>
      <c r="V25" s="1164">
        <v>129</v>
      </c>
      <c r="W25" s="1128"/>
    </row>
    <row r="26" spans="1:23" s="1129" customFormat="1" x14ac:dyDescent="0.25">
      <c r="A26" s="1125">
        <v>4081800100</v>
      </c>
      <c r="B26" s="1125">
        <v>2</v>
      </c>
      <c r="C26" s="1125">
        <v>4</v>
      </c>
      <c r="D26" s="1127" t="s">
        <v>2211</v>
      </c>
      <c r="E26" s="1126" t="s">
        <v>2253</v>
      </c>
      <c r="F26" s="1125">
        <v>287</v>
      </c>
      <c r="G26" s="1126" t="s">
        <v>753</v>
      </c>
      <c r="H26" s="1125">
        <v>1</v>
      </c>
      <c r="I26" s="1175" t="s">
        <v>1279</v>
      </c>
      <c r="J26" s="1126">
        <v>1</v>
      </c>
      <c r="K26" s="1125">
        <v>24</v>
      </c>
      <c r="L26" s="1125">
        <v>1</v>
      </c>
      <c r="M26" s="1125">
        <v>1</v>
      </c>
      <c r="N26" s="1126" t="s">
        <v>1259</v>
      </c>
      <c r="O26" s="1125">
        <v>13</v>
      </c>
      <c r="P26" s="1164">
        <v>3542.4</v>
      </c>
      <c r="Q26" s="1164">
        <v>-2681.4</v>
      </c>
      <c r="R26" s="1164">
        <v>861</v>
      </c>
      <c r="S26" s="1164">
        <v>861</v>
      </c>
      <c r="T26" s="1164">
        <v>861</v>
      </c>
      <c r="U26" s="1164">
        <v>861</v>
      </c>
      <c r="V26" s="1164">
        <v>861</v>
      </c>
      <c r="W26" s="1128"/>
    </row>
    <row r="27" spans="1:23" s="1129" customFormat="1" x14ac:dyDescent="0.25">
      <c r="A27" s="1125">
        <v>4081800100</v>
      </c>
      <c r="B27" s="1125">
        <v>2</v>
      </c>
      <c r="C27" s="1125">
        <v>4</v>
      </c>
      <c r="D27" s="1127" t="s">
        <v>2211</v>
      </c>
      <c r="E27" s="1126" t="s">
        <v>2253</v>
      </c>
      <c r="F27" s="1125">
        <v>287</v>
      </c>
      <c r="G27" s="1126" t="s">
        <v>753</v>
      </c>
      <c r="H27" s="1125">
        <v>1</v>
      </c>
      <c r="I27" s="1175" t="s">
        <v>2246</v>
      </c>
      <c r="J27" s="1126">
        <v>1</v>
      </c>
      <c r="K27" s="1125">
        <v>24</v>
      </c>
      <c r="L27" s="1125">
        <v>1</v>
      </c>
      <c r="M27" s="1125">
        <v>1</v>
      </c>
      <c r="N27" s="1126" t="s">
        <v>1259</v>
      </c>
      <c r="O27" s="1125">
        <v>13</v>
      </c>
      <c r="P27" s="1164">
        <v>0</v>
      </c>
      <c r="Q27" s="1164">
        <v>181062.81</v>
      </c>
      <c r="R27" s="1164">
        <v>181062.81</v>
      </c>
      <c r="S27" s="1164">
        <v>181062.81</v>
      </c>
      <c r="T27" s="1164">
        <v>181062.81</v>
      </c>
      <c r="U27" s="1164">
        <v>181062.81</v>
      </c>
      <c r="V27" s="1164">
        <v>181062.81</v>
      </c>
      <c r="W27" s="1128"/>
    </row>
    <row r="28" spans="1:23" s="1129" customFormat="1" x14ac:dyDescent="0.25">
      <c r="A28" s="1125">
        <v>4081800100</v>
      </c>
      <c r="B28" s="1125">
        <v>2</v>
      </c>
      <c r="C28" s="1125">
        <v>4</v>
      </c>
      <c r="D28" s="1127" t="s">
        <v>2211</v>
      </c>
      <c r="E28" s="1126" t="s">
        <v>2253</v>
      </c>
      <c r="F28" s="1125">
        <v>287</v>
      </c>
      <c r="G28" s="1126" t="s">
        <v>753</v>
      </c>
      <c r="H28" s="1125">
        <v>1</v>
      </c>
      <c r="I28" s="1175" t="s">
        <v>1280</v>
      </c>
      <c r="J28" s="1126">
        <v>1</v>
      </c>
      <c r="K28" s="1125">
        <v>24</v>
      </c>
      <c r="L28" s="1125">
        <v>1</v>
      </c>
      <c r="M28" s="1125">
        <v>1</v>
      </c>
      <c r="N28" s="1126" t="s">
        <v>1259</v>
      </c>
      <c r="O28" s="1125">
        <v>13</v>
      </c>
      <c r="P28" s="1164">
        <v>13653.68</v>
      </c>
      <c r="Q28" s="1164">
        <v>-1845.99</v>
      </c>
      <c r="R28" s="1164">
        <v>11807.69</v>
      </c>
      <c r="S28" s="1164">
        <v>11807.69</v>
      </c>
      <c r="T28" s="1164">
        <v>11807.69</v>
      </c>
      <c r="U28" s="1164">
        <v>11807.69</v>
      </c>
      <c r="V28" s="1164">
        <v>11807.69</v>
      </c>
      <c r="W28" s="1128"/>
    </row>
    <row r="29" spans="1:23" s="1129" customFormat="1" x14ac:dyDescent="0.25">
      <c r="A29" s="1125">
        <v>4081800100</v>
      </c>
      <c r="B29" s="1125">
        <v>2</v>
      </c>
      <c r="C29" s="1125">
        <v>4</v>
      </c>
      <c r="D29" s="1127" t="s">
        <v>2211</v>
      </c>
      <c r="E29" s="1126" t="s">
        <v>2253</v>
      </c>
      <c r="F29" s="1125">
        <v>287</v>
      </c>
      <c r="G29" s="1126" t="s">
        <v>753</v>
      </c>
      <c r="H29" s="1125">
        <v>1</v>
      </c>
      <c r="I29" s="1175" t="s">
        <v>2193</v>
      </c>
      <c r="J29" s="1126">
        <v>1</v>
      </c>
      <c r="K29" s="1125">
        <v>24</v>
      </c>
      <c r="L29" s="1125">
        <v>1</v>
      </c>
      <c r="M29" s="1125">
        <v>1</v>
      </c>
      <c r="N29" s="1126" t="s">
        <v>1259</v>
      </c>
      <c r="O29" s="1125">
        <v>13</v>
      </c>
      <c r="P29" s="1164">
        <v>20089.45</v>
      </c>
      <c r="Q29" s="1164">
        <v>-11069.7</v>
      </c>
      <c r="R29" s="1164">
        <v>9019.75</v>
      </c>
      <c r="S29" s="1164">
        <v>9019.75</v>
      </c>
      <c r="T29" s="1164">
        <v>9019.75</v>
      </c>
      <c r="U29" s="1164">
        <v>9019.75</v>
      </c>
      <c r="V29" s="1164">
        <v>9019.75</v>
      </c>
      <c r="W29" s="1128"/>
    </row>
    <row r="30" spans="1:23" s="1129" customFormat="1" x14ac:dyDescent="0.25">
      <c r="A30" s="1125">
        <v>4081800100</v>
      </c>
      <c r="B30" s="1125">
        <v>2</v>
      </c>
      <c r="C30" s="1125">
        <v>4</v>
      </c>
      <c r="D30" s="1127" t="s">
        <v>2211</v>
      </c>
      <c r="E30" s="1126" t="s">
        <v>2253</v>
      </c>
      <c r="F30" s="1125">
        <v>287</v>
      </c>
      <c r="G30" s="1126" t="s">
        <v>753</v>
      </c>
      <c r="H30" s="1125">
        <v>1</v>
      </c>
      <c r="I30" s="1175" t="s">
        <v>1358</v>
      </c>
      <c r="J30" s="1126">
        <v>1</v>
      </c>
      <c r="K30" s="1125">
        <v>24</v>
      </c>
      <c r="L30" s="1125">
        <v>1</v>
      </c>
      <c r="M30" s="1125">
        <v>1</v>
      </c>
      <c r="N30" s="1126" t="s">
        <v>1259</v>
      </c>
      <c r="O30" s="1125">
        <v>13</v>
      </c>
      <c r="P30" s="1164">
        <v>31440</v>
      </c>
      <c r="Q30" s="1164">
        <v>-23580</v>
      </c>
      <c r="R30" s="1164">
        <v>7860</v>
      </c>
      <c r="S30" s="1164">
        <v>7860</v>
      </c>
      <c r="T30" s="1164">
        <v>7860</v>
      </c>
      <c r="U30" s="1164">
        <v>7860</v>
      </c>
      <c r="V30" s="1164">
        <v>7860</v>
      </c>
      <c r="W30" s="1128"/>
    </row>
    <row r="31" spans="1:23" s="1129" customFormat="1" x14ac:dyDescent="0.25">
      <c r="A31" s="1125">
        <v>4081800100</v>
      </c>
      <c r="B31" s="1125">
        <v>2</v>
      </c>
      <c r="C31" s="1125">
        <v>4</v>
      </c>
      <c r="D31" s="1127" t="s">
        <v>2211</v>
      </c>
      <c r="E31" s="1126" t="s">
        <v>2253</v>
      </c>
      <c r="F31" s="1125">
        <v>287</v>
      </c>
      <c r="G31" s="1126" t="s">
        <v>753</v>
      </c>
      <c r="H31" s="1125">
        <v>1</v>
      </c>
      <c r="I31" s="1175" t="s">
        <v>1381</v>
      </c>
      <c r="J31" s="1126">
        <v>1</v>
      </c>
      <c r="K31" s="1125">
        <v>24</v>
      </c>
      <c r="L31" s="1125">
        <v>1</v>
      </c>
      <c r="M31" s="1125">
        <v>1</v>
      </c>
      <c r="N31" s="1126" t="s">
        <v>1259</v>
      </c>
      <c r="O31" s="1125">
        <v>13</v>
      </c>
      <c r="P31" s="1164">
        <v>2900</v>
      </c>
      <c r="Q31" s="1164">
        <v>-2900</v>
      </c>
      <c r="R31" s="1164">
        <v>0</v>
      </c>
      <c r="S31" s="1164">
        <v>0</v>
      </c>
      <c r="T31" s="1164">
        <v>0</v>
      </c>
      <c r="U31" s="1164">
        <v>0</v>
      </c>
      <c r="V31" s="1164">
        <v>0</v>
      </c>
      <c r="W31" s="1128"/>
    </row>
    <row r="32" spans="1:23" s="1129" customFormat="1" x14ac:dyDescent="0.25">
      <c r="A32" s="1125">
        <v>4081800100</v>
      </c>
      <c r="B32" s="1125">
        <v>2</v>
      </c>
      <c r="C32" s="1125">
        <v>4</v>
      </c>
      <c r="D32" s="1127" t="s">
        <v>2211</v>
      </c>
      <c r="E32" s="1126" t="s">
        <v>2253</v>
      </c>
      <c r="F32" s="1125">
        <v>287</v>
      </c>
      <c r="G32" s="1126" t="s">
        <v>753</v>
      </c>
      <c r="H32" s="1125">
        <v>1</v>
      </c>
      <c r="I32" s="1175" t="s">
        <v>1359</v>
      </c>
      <c r="J32" s="1126">
        <v>1</v>
      </c>
      <c r="K32" s="1125">
        <v>24</v>
      </c>
      <c r="L32" s="1125">
        <v>1</v>
      </c>
      <c r="M32" s="1125">
        <v>1</v>
      </c>
      <c r="N32" s="1126" t="s">
        <v>1259</v>
      </c>
      <c r="O32" s="1125">
        <v>13</v>
      </c>
      <c r="P32" s="1164">
        <v>18384</v>
      </c>
      <c r="Q32" s="1164">
        <v>-13788</v>
      </c>
      <c r="R32" s="1164">
        <v>4596</v>
      </c>
      <c r="S32" s="1164">
        <v>4596</v>
      </c>
      <c r="T32" s="1164">
        <v>4596</v>
      </c>
      <c r="U32" s="1164">
        <v>4596</v>
      </c>
      <c r="V32" s="1164">
        <v>4596</v>
      </c>
      <c r="W32" s="1128"/>
    </row>
    <row r="33" spans="1:23" s="1129" customFormat="1" x14ac:dyDescent="0.25">
      <c r="A33" s="1125">
        <v>4081800100</v>
      </c>
      <c r="B33" s="1125">
        <v>2</v>
      </c>
      <c r="C33" s="1125">
        <v>4</v>
      </c>
      <c r="D33" s="1127" t="s">
        <v>2211</v>
      </c>
      <c r="E33" s="1126" t="s">
        <v>2253</v>
      </c>
      <c r="F33" s="1125">
        <v>287</v>
      </c>
      <c r="G33" s="1126" t="s">
        <v>753</v>
      </c>
      <c r="H33" s="1125">
        <v>1</v>
      </c>
      <c r="I33" s="1175" t="s">
        <v>1360</v>
      </c>
      <c r="J33" s="1126">
        <v>1</v>
      </c>
      <c r="K33" s="1125">
        <v>24</v>
      </c>
      <c r="L33" s="1125">
        <v>1</v>
      </c>
      <c r="M33" s="1125">
        <v>1</v>
      </c>
      <c r="N33" s="1126" t="s">
        <v>1259</v>
      </c>
      <c r="O33" s="1125">
        <v>13</v>
      </c>
      <c r="P33" s="1164">
        <v>20232</v>
      </c>
      <c r="Q33" s="1164">
        <v>-15174</v>
      </c>
      <c r="R33" s="1164">
        <v>5058</v>
      </c>
      <c r="S33" s="1164">
        <v>5058</v>
      </c>
      <c r="T33" s="1164">
        <v>5058</v>
      </c>
      <c r="U33" s="1164">
        <v>5058</v>
      </c>
      <c r="V33" s="1164">
        <v>5058</v>
      </c>
      <c r="W33" s="1128"/>
    </row>
    <row r="34" spans="1:23" s="1129" customFormat="1" x14ac:dyDescent="0.25">
      <c r="A34" s="1125">
        <v>4081800100</v>
      </c>
      <c r="B34" s="1125">
        <v>2</v>
      </c>
      <c r="C34" s="1125">
        <v>4</v>
      </c>
      <c r="D34" s="1127" t="s">
        <v>2211</v>
      </c>
      <c r="E34" s="1126" t="s">
        <v>2253</v>
      </c>
      <c r="F34" s="1125">
        <v>287</v>
      </c>
      <c r="G34" s="1126" t="s">
        <v>753</v>
      </c>
      <c r="H34" s="1125">
        <v>1</v>
      </c>
      <c r="I34" s="1175" t="s">
        <v>2194</v>
      </c>
      <c r="J34" s="1126">
        <v>1</v>
      </c>
      <c r="K34" s="1125">
        <v>24</v>
      </c>
      <c r="L34" s="1125">
        <v>1</v>
      </c>
      <c r="M34" s="1125">
        <v>1</v>
      </c>
      <c r="N34" s="1126" t="s">
        <v>1259</v>
      </c>
      <c r="O34" s="1125">
        <v>13</v>
      </c>
      <c r="P34" s="1164">
        <v>2560</v>
      </c>
      <c r="Q34" s="1164">
        <v>-1060</v>
      </c>
      <c r="R34" s="1164">
        <v>1500</v>
      </c>
      <c r="S34" s="1164">
        <v>1500</v>
      </c>
      <c r="T34" s="1164">
        <v>1500</v>
      </c>
      <c r="U34" s="1164">
        <v>1500</v>
      </c>
      <c r="V34" s="1164">
        <v>1500</v>
      </c>
      <c r="W34" s="1128"/>
    </row>
    <row r="35" spans="1:23" s="1129" customFormat="1" x14ac:dyDescent="0.25">
      <c r="A35" s="1125">
        <v>4081800100</v>
      </c>
      <c r="B35" s="1125">
        <v>2</v>
      </c>
      <c r="C35" s="1125">
        <v>4</v>
      </c>
      <c r="D35" s="1127" t="s">
        <v>2211</v>
      </c>
      <c r="E35" s="1126" t="s">
        <v>2253</v>
      </c>
      <c r="F35" s="1125">
        <v>287</v>
      </c>
      <c r="G35" s="1126" t="s">
        <v>753</v>
      </c>
      <c r="H35" s="1125">
        <v>1</v>
      </c>
      <c r="I35" s="1175" t="s">
        <v>2121</v>
      </c>
      <c r="J35" s="1126">
        <v>1</v>
      </c>
      <c r="K35" s="1125">
        <v>24</v>
      </c>
      <c r="L35" s="1125">
        <v>1</v>
      </c>
      <c r="M35" s="1125">
        <v>1</v>
      </c>
      <c r="N35" s="1126" t="s">
        <v>1259</v>
      </c>
      <c r="O35" s="1125">
        <v>13</v>
      </c>
      <c r="P35" s="1164">
        <v>1460</v>
      </c>
      <c r="Q35" s="1164">
        <v>-1460</v>
      </c>
      <c r="R35" s="1164">
        <v>0</v>
      </c>
      <c r="S35" s="1164">
        <v>0</v>
      </c>
      <c r="T35" s="1164">
        <v>0</v>
      </c>
      <c r="U35" s="1164">
        <v>0</v>
      </c>
      <c r="V35" s="1164">
        <v>0</v>
      </c>
      <c r="W35" s="1128"/>
    </row>
    <row r="36" spans="1:23" s="1129" customFormat="1" x14ac:dyDescent="0.25">
      <c r="A36" s="1125">
        <v>4081800100</v>
      </c>
      <c r="B36" s="1125">
        <v>2</v>
      </c>
      <c r="C36" s="1125">
        <v>4</v>
      </c>
      <c r="D36" s="1127" t="s">
        <v>2211</v>
      </c>
      <c r="E36" s="1126" t="s">
        <v>2253</v>
      </c>
      <c r="F36" s="1125">
        <v>287</v>
      </c>
      <c r="G36" s="1126" t="s">
        <v>753</v>
      </c>
      <c r="H36" s="1125">
        <v>1</v>
      </c>
      <c r="I36" s="1175" t="s">
        <v>1362</v>
      </c>
      <c r="J36" s="1126">
        <v>1</v>
      </c>
      <c r="K36" s="1125">
        <v>24</v>
      </c>
      <c r="L36" s="1125">
        <v>1</v>
      </c>
      <c r="M36" s="1125">
        <v>1</v>
      </c>
      <c r="N36" s="1126" t="s">
        <v>1259</v>
      </c>
      <c r="O36" s="1125">
        <v>13</v>
      </c>
      <c r="P36" s="1164">
        <v>2000</v>
      </c>
      <c r="Q36" s="1164">
        <v>-2000</v>
      </c>
      <c r="R36" s="1164">
        <v>0</v>
      </c>
      <c r="S36" s="1164">
        <v>0</v>
      </c>
      <c r="T36" s="1164">
        <v>0</v>
      </c>
      <c r="U36" s="1164">
        <v>0</v>
      </c>
      <c r="V36" s="1164">
        <v>0</v>
      </c>
      <c r="W36" s="1128"/>
    </row>
    <row r="37" spans="1:23" s="1129" customFormat="1" x14ac:dyDescent="0.25">
      <c r="A37" s="1125">
        <v>4081800100</v>
      </c>
      <c r="B37" s="1125">
        <v>2</v>
      </c>
      <c r="C37" s="1125">
        <v>4</v>
      </c>
      <c r="D37" s="1127" t="s">
        <v>2211</v>
      </c>
      <c r="E37" s="1126" t="s">
        <v>2253</v>
      </c>
      <c r="F37" s="1125">
        <v>287</v>
      </c>
      <c r="G37" s="1126" t="s">
        <v>753</v>
      </c>
      <c r="H37" s="1125">
        <v>1</v>
      </c>
      <c r="I37" s="1175" t="s">
        <v>1363</v>
      </c>
      <c r="J37" s="1126">
        <v>1</v>
      </c>
      <c r="K37" s="1125">
        <v>24</v>
      </c>
      <c r="L37" s="1125">
        <v>1</v>
      </c>
      <c r="M37" s="1125">
        <v>1</v>
      </c>
      <c r="N37" s="1126" t="s">
        <v>1259</v>
      </c>
      <c r="O37" s="1125">
        <v>13</v>
      </c>
      <c r="P37" s="1164">
        <v>11448</v>
      </c>
      <c r="Q37" s="1164">
        <v>-8586</v>
      </c>
      <c r="R37" s="1164">
        <v>2862</v>
      </c>
      <c r="S37" s="1164">
        <v>2862</v>
      </c>
      <c r="T37" s="1164">
        <v>2862</v>
      </c>
      <c r="U37" s="1164">
        <v>2862</v>
      </c>
      <c r="V37" s="1164">
        <v>2862</v>
      </c>
      <c r="W37" s="1128"/>
    </row>
    <row r="38" spans="1:23" s="1129" customFormat="1" x14ac:dyDescent="0.25">
      <c r="A38" s="1125">
        <v>4081800100</v>
      </c>
      <c r="B38" s="1125">
        <v>2</v>
      </c>
      <c r="C38" s="1125">
        <v>4</v>
      </c>
      <c r="D38" s="1127" t="s">
        <v>2211</v>
      </c>
      <c r="E38" s="1126" t="s">
        <v>2253</v>
      </c>
      <c r="F38" s="1125">
        <v>287</v>
      </c>
      <c r="G38" s="1126" t="s">
        <v>753</v>
      </c>
      <c r="H38" s="1125">
        <v>1</v>
      </c>
      <c r="I38" s="1175" t="s">
        <v>2195</v>
      </c>
      <c r="J38" s="1126">
        <v>1</v>
      </c>
      <c r="K38" s="1125">
        <v>24</v>
      </c>
      <c r="L38" s="1125">
        <v>1</v>
      </c>
      <c r="M38" s="1125">
        <v>1</v>
      </c>
      <c r="N38" s="1126" t="s">
        <v>1259</v>
      </c>
      <c r="O38" s="1125">
        <v>13</v>
      </c>
      <c r="P38" s="1164">
        <v>4000</v>
      </c>
      <c r="Q38" s="1164">
        <v>-3100</v>
      </c>
      <c r="R38" s="1164">
        <v>900</v>
      </c>
      <c r="S38" s="1164">
        <v>900</v>
      </c>
      <c r="T38" s="1164">
        <v>900</v>
      </c>
      <c r="U38" s="1164">
        <v>900</v>
      </c>
      <c r="V38" s="1164">
        <v>900</v>
      </c>
      <c r="W38" s="1128"/>
    </row>
    <row r="39" spans="1:23" s="1129" customFormat="1" x14ac:dyDescent="0.25">
      <c r="A39" s="1125">
        <v>4081800100</v>
      </c>
      <c r="B39" s="1125">
        <v>2</v>
      </c>
      <c r="C39" s="1125">
        <v>4</v>
      </c>
      <c r="D39" s="1127" t="s">
        <v>2211</v>
      </c>
      <c r="E39" s="1126" t="s">
        <v>2253</v>
      </c>
      <c r="F39" s="1125">
        <v>287</v>
      </c>
      <c r="G39" s="1126" t="s">
        <v>753</v>
      </c>
      <c r="H39" s="1125">
        <v>1</v>
      </c>
      <c r="I39" s="1175" t="s">
        <v>1281</v>
      </c>
      <c r="J39" s="1126">
        <v>1</v>
      </c>
      <c r="K39" s="1125">
        <v>24</v>
      </c>
      <c r="L39" s="1125">
        <v>1</v>
      </c>
      <c r="M39" s="1125">
        <v>1</v>
      </c>
      <c r="N39" s="1126" t="s">
        <v>1259</v>
      </c>
      <c r="O39" s="1125">
        <v>13</v>
      </c>
      <c r="P39" s="1164">
        <v>102692.53</v>
      </c>
      <c r="Q39" s="1164">
        <v>68222.55</v>
      </c>
      <c r="R39" s="1164">
        <v>170915.08</v>
      </c>
      <c r="S39" s="1164">
        <v>170915.08</v>
      </c>
      <c r="T39" s="1164">
        <v>170915.08</v>
      </c>
      <c r="U39" s="1164">
        <v>170915.08</v>
      </c>
      <c r="V39" s="1164">
        <v>170915.08</v>
      </c>
      <c r="W39" s="1128"/>
    </row>
    <row r="40" spans="1:23" s="1129" customFormat="1" x14ac:dyDescent="0.25">
      <c r="A40" s="1125">
        <v>4081800100</v>
      </c>
      <c r="B40" s="1125">
        <v>2</v>
      </c>
      <c r="C40" s="1125">
        <v>4</v>
      </c>
      <c r="D40" s="1127" t="s">
        <v>2211</v>
      </c>
      <c r="E40" s="1126" t="s">
        <v>2253</v>
      </c>
      <c r="F40" s="1125">
        <v>287</v>
      </c>
      <c r="G40" s="1126" t="s">
        <v>753</v>
      </c>
      <c r="H40" s="1125">
        <v>1</v>
      </c>
      <c r="I40" s="1175" t="s">
        <v>1282</v>
      </c>
      <c r="J40" s="1126">
        <v>1</v>
      </c>
      <c r="K40" s="1125">
        <v>24</v>
      </c>
      <c r="L40" s="1125">
        <v>1</v>
      </c>
      <c r="M40" s="1125">
        <v>1</v>
      </c>
      <c r="N40" s="1126" t="s">
        <v>1259</v>
      </c>
      <c r="O40" s="1125">
        <v>13</v>
      </c>
      <c r="P40" s="1164">
        <v>259902.19</v>
      </c>
      <c r="Q40" s="1164">
        <v>-259902.19</v>
      </c>
      <c r="R40" s="1164">
        <v>0</v>
      </c>
      <c r="S40" s="1164">
        <v>0</v>
      </c>
      <c r="T40" s="1164">
        <v>0</v>
      </c>
      <c r="U40" s="1164">
        <v>0</v>
      </c>
      <c r="V40" s="1164">
        <v>0</v>
      </c>
      <c r="W40" s="1128"/>
    </row>
    <row r="41" spans="1:23" s="1129" customFormat="1" x14ac:dyDescent="0.25">
      <c r="A41" s="1125">
        <v>4081800100</v>
      </c>
      <c r="B41" s="1125">
        <v>2</v>
      </c>
      <c r="C41" s="1125">
        <v>4</v>
      </c>
      <c r="D41" s="1127" t="s">
        <v>2211</v>
      </c>
      <c r="E41" s="1126" t="s">
        <v>2253</v>
      </c>
      <c r="F41" s="1125">
        <v>287</v>
      </c>
      <c r="G41" s="1126" t="s">
        <v>753</v>
      </c>
      <c r="H41" s="1125">
        <v>1</v>
      </c>
      <c r="I41" s="1175" t="s">
        <v>1283</v>
      </c>
      <c r="J41" s="1126">
        <v>1</v>
      </c>
      <c r="K41" s="1125">
        <v>24</v>
      </c>
      <c r="L41" s="1125">
        <v>1</v>
      </c>
      <c r="M41" s="1125">
        <v>1</v>
      </c>
      <c r="N41" s="1126" t="s">
        <v>1259</v>
      </c>
      <c r="O41" s="1125">
        <v>13</v>
      </c>
      <c r="P41" s="1164">
        <v>462000</v>
      </c>
      <c r="Q41" s="1164">
        <v>-11750</v>
      </c>
      <c r="R41" s="1164">
        <v>450250</v>
      </c>
      <c r="S41" s="1164">
        <v>450250</v>
      </c>
      <c r="T41" s="1164">
        <v>450250</v>
      </c>
      <c r="U41" s="1164">
        <v>450250</v>
      </c>
      <c r="V41" s="1164">
        <v>450250</v>
      </c>
      <c r="W41" s="1128"/>
    </row>
    <row r="42" spans="1:23" s="1129" customFormat="1" x14ac:dyDescent="0.25">
      <c r="A42" s="1125">
        <v>4081800100</v>
      </c>
      <c r="B42" s="1125">
        <v>2</v>
      </c>
      <c r="C42" s="1125">
        <v>4</v>
      </c>
      <c r="D42" s="1127" t="s">
        <v>2211</v>
      </c>
      <c r="E42" s="1126" t="s">
        <v>2253</v>
      </c>
      <c r="F42" s="1125">
        <v>287</v>
      </c>
      <c r="G42" s="1126" t="s">
        <v>753</v>
      </c>
      <c r="H42" s="1125">
        <v>1</v>
      </c>
      <c r="I42" s="1175" t="s">
        <v>1382</v>
      </c>
      <c r="J42" s="1126">
        <v>1</v>
      </c>
      <c r="K42" s="1125">
        <v>24</v>
      </c>
      <c r="L42" s="1125">
        <v>1</v>
      </c>
      <c r="M42" s="1125">
        <v>1</v>
      </c>
      <c r="N42" s="1126" t="s">
        <v>1259</v>
      </c>
      <c r="O42" s="1125">
        <v>13</v>
      </c>
      <c r="P42" s="1164">
        <v>7040</v>
      </c>
      <c r="Q42" s="1164">
        <v>-5280</v>
      </c>
      <c r="R42" s="1164">
        <v>1760</v>
      </c>
      <c r="S42" s="1164">
        <v>1760</v>
      </c>
      <c r="T42" s="1164">
        <v>1760</v>
      </c>
      <c r="U42" s="1164">
        <v>1760</v>
      </c>
      <c r="V42" s="1164">
        <v>1760</v>
      </c>
      <c r="W42" s="1128"/>
    </row>
    <row r="43" spans="1:23" s="1129" customFormat="1" x14ac:dyDescent="0.25">
      <c r="A43" s="1125">
        <v>4081800100</v>
      </c>
      <c r="B43" s="1125">
        <v>2</v>
      </c>
      <c r="C43" s="1125">
        <v>4</v>
      </c>
      <c r="D43" s="1127" t="s">
        <v>2211</v>
      </c>
      <c r="E43" s="1126" t="s">
        <v>2253</v>
      </c>
      <c r="F43" s="1125">
        <v>287</v>
      </c>
      <c r="G43" s="1126" t="s">
        <v>753</v>
      </c>
      <c r="H43" s="1125">
        <v>1</v>
      </c>
      <c r="I43" s="1175" t="s">
        <v>1365</v>
      </c>
      <c r="J43" s="1126">
        <v>1</v>
      </c>
      <c r="K43" s="1125">
        <v>24</v>
      </c>
      <c r="L43" s="1125">
        <v>1</v>
      </c>
      <c r="M43" s="1125">
        <v>1</v>
      </c>
      <c r="N43" s="1126" t="s">
        <v>1259</v>
      </c>
      <c r="O43" s="1125">
        <v>13</v>
      </c>
      <c r="P43" s="1164">
        <v>55348.56</v>
      </c>
      <c r="Q43" s="1164">
        <v>-40588.959999999999</v>
      </c>
      <c r="R43" s="1164">
        <v>14759.6</v>
      </c>
      <c r="S43" s="1164">
        <v>14759.6</v>
      </c>
      <c r="T43" s="1164">
        <v>14759.6</v>
      </c>
      <c r="U43" s="1164">
        <v>14759.6</v>
      </c>
      <c r="V43" s="1164">
        <v>14759.6</v>
      </c>
      <c r="W43" s="1128"/>
    </row>
    <row r="44" spans="1:23" s="1129" customFormat="1" x14ac:dyDescent="0.25">
      <c r="A44" s="1125">
        <v>4081800100</v>
      </c>
      <c r="B44" s="1125">
        <v>2</v>
      </c>
      <c r="C44" s="1125">
        <v>4</v>
      </c>
      <c r="D44" s="1127" t="s">
        <v>2211</v>
      </c>
      <c r="E44" s="1126" t="s">
        <v>2253</v>
      </c>
      <c r="F44" s="1125">
        <v>287</v>
      </c>
      <c r="G44" s="1126" t="s">
        <v>753</v>
      </c>
      <c r="H44" s="1125">
        <v>1</v>
      </c>
      <c r="I44" s="1175" t="s">
        <v>1284</v>
      </c>
      <c r="J44" s="1126">
        <v>1</v>
      </c>
      <c r="K44" s="1125">
        <v>24</v>
      </c>
      <c r="L44" s="1125">
        <v>1</v>
      </c>
      <c r="M44" s="1125">
        <v>1</v>
      </c>
      <c r="N44" s="1126" t="s">
        <v>1259</v>
      </c>
      <c r="O44" s="1125">
        <v>13</v>
      </c>
      <c r="P44" s="1164">
        <v>16000</v>
      </c>
      <c r="Q44" s="1164">
        <v>-7326.7</v>
      </c>
      <c r="R44" s="1164">
        <v>8673.2999999999993</v>
      </c>
      <c r="S44" s="1164">
        <v>8673.2999999999993</v>
      </c>
      <c r="T44" s="1164">
        <v>8673.2999999999993</v>
      </c>
      <c r="U44" s="1164">
        <v>8673.2999999999993</v>
      </c>
      <c r="V44" s="1164">
        <v>8673.2999999999993</v>
      </c>
      <c r="W44" s="1128"/>
    </row>
    <row r="45" spans="1:23" s="1129" customFormat="1" x14ac:dyDescent="0.25">
      <c r="A45" s="1125">
        <v>4081800100</v>
      </c>
      <c r="B45" s="1125">
        <v>2</v>
      </c>
      <c r="C45" s="1125">
        <v>4</v>
      </c>
      <c r="D45" s="1127" t="s">
        <v>2211</v>
      </c>
      <c r="E45" s="1126" t="s">
        <v>2253</v>
      </c>
      <c r="F45" s="1125">
        <v>287</v>
      </c>
      <c r="G45" s="1126" t="s">
        <v>753</v>
      </c>
      <c r="H45" s="1125">
        <v>1</v>
      </c>
      <c r="I45" s="1175" t="s">
        <v>1285</v>
      </c>
      <c r="J45" s="1126">
        <v>1</v>
      </c>
      <c r="K45" s="1125">
        <v>24</v>
      </c>
      <c r="L45" s="1125">
        <v>1</v>
      </c>
      <c r="M45" s="1125">
        <v>1</v>
      </c>
      <c r="N45" s="1126" t="s">
        <v>1259</v>
      </c>
      <c r="O45" s="1125">
        <v>13</v>
      </c>
      <c r="P45" s="1164">
        <v>18000</v>
      </c>
      <c r="Q45" s="1164">
        <v>-18000</v>
      </c>
      <c r="R45" s="1164">
        <v>0</v>
      </c>
      <c r="S45" s="1164">
        <v>0</v>
      </c>
      <c r="T45" s="1164">
        <v>0</v>
      </c>
      <c r="U45" s="1164">
        <v>0</v>
      </c>
      <c r="V45" s="1164">
        <v>0</v>
      </c>
      <c r="W45" s="1128"/>
    </row>
    <row r="46" spans="1:23" s="1129" customFormat="1" x14ac:dyDescent="0.25">
      <c r="A46" s="1125">
        <v>4081800100</v>
      </c>
      <c r="B46" s="1125">
        <v>2</v>
      </c>
      <c r="C46" s="1125">
        <v>4</v>
      </c>
      <c r="D46" s="1127" t="s">
        <v>2211</v>
      </c>
      <c r="E46" s="1126" t="s">
        <v>2253</v>
      </c>
      <c r="F46" s="1125">
        <v>287</v>
      </c>
      <c r="G46" s="1126" t="s">
        <v>753</v>
      </c>
      <c r="H46" s="1125">
        <v>1</v>
      </c>
      <c r="I46" s="1175" t="s">
        <v>1291</v>
      </c>
      <c r="J46" s="1126">
        <v>1</v>
      </c>
      <c r="K46" s="1125">
        <v>24</v>
      </c>
      <c r="L46" s="1125">
        <v>1</v>
      </c>
      <c r="M46" s="1125">
        <v>1</v>
      </c>
      <c r="N46" s="1126" t="s">
        <v>1259</v>
      </c>
      <c r="O46" s="1125">
        <v>13</v>
      </c>
      <c r="P46" s="1164">
        <v>26000</v>
      </c>
      <c r="Q46" s="1164">
        <v>-24785</v>
      </c>
      <c r="R46" s="1164">
        <v>1215</v>
      </c>
      <c r="S46" s="1164">
        <v>1215</v>
      </c>
      <c r="T46" s="1164">
        <v>1215</v>
      </c>
      <c r="U46" s="1164">
        <v>1215</v>
      </c>
      <c r="V46" s="1164">
        <v>1215</v>
      </c>
      <c r="W46" s="1128"/>
    </row>
    <row r="47" spans="1:23" s="1129" customFormat="1" x14ac:dyDescent="0.25">
      <c r="A47" s="1125">
        <v>4081800100</v>
      </c>
      <c r="B47" s="1125">
        <v>2</v>
      </c>
      <c r="C47" s="1125">
        <v>4</v>
      </c>
      <c r="D47" s="1127" t="s">
        <v>2211</v>
      </c>
      <c r="E47" s="1126" t="s">
        <v>2253</v>
      </c>
      <c r="F47" s="1125">
        <v>287</v>
      </c>
      <c r="G47" s="1126" t="s">
        <v>753</v>
      </c>
      <c r="H47" s="1125">
        <v>1</v>
      </c>
      <c r="I47" s="1175" t="s">
        <v>1300</v>
      </c>
      <c r="J47" s="1126">
        <v>1</v>
      </c>
      <c r="K47" s="1125">
        <v>24</v>
      </c>
      <c r="L47" s="1125">
        <v>1</v>
      </c>
      <c r="M47" s="1125">
        <v>1</v>
      </c>
      <c r="N47" s="1126" t="s">
        <v>1259</v>
      </c>
      <c r="O47" s="1125">
        <v>13</v>
      </c>
      <c r="P47" s="1164">
        <v>80000</v>
      </c>
      <c r="Q47" s="1164">
        <v>28885.32</v>
      </c>
      <c r="R47" s="1164">
        <v>108885.32</v>
      </c>
      <c r="S47" s="1164">
        <v>108885.32</v>
      </c>
      <c r="T47" s="1164">
        <v>108885.32</v>
      </c>
      <c r="U47" s="1164">
        <v>108885.32</v>
      </c>
      <c r="V47" s="1164">
        <v>108885.32</v>
      </c>
      <c r="W47" s="1128"/>
    </row>
    <row r="48" spans="1:23" s="1129" customFormat="1" x14ac:dyDescent="0.25">
      <c r="A48" s="1125">
        <v>4081800100</v>
      </c>
      <c r="B48" s="1125">
        <v>2</v>
      </c>
      <c r="C48" s="1125">
        <v>4</v>
      </c>
      <c r="D48" s="1127" t="s">
        <v>2211</v>
      </c>
      <c r="E48" s="1126" t="s">
        <v>2253</v>
      </c>
      <c r="F48" s="1125">
        <v>287</v>
      </c>
      <c r="G48" s="1126" t="s">
        <v>753</v>
      </c>
      <c r="H48" s="1125">
        <v>1</v>
      </c>
      <c r="I48" s="1175" t="s">
        <v>2201</v>
      </c>
      <c r="J48" s="1126">
        <v>1</v>
      </c>
      <c r="K48" s="1125">
        <v>24</v>
      </c>
      <c r="L48" s="1125">
        <v>1</v>
      </c>
      <c r="M48" s="1125">
        <v>1</v>
      </c>
      <c r="N48" s="1126" t="s">
        <v>1259</v>
      </c>
      <c r="O48" s="1125">
        <v>13</v>
      </c>
      <c r="P48" s="1164">
        <v>12000</v>
      </c>
      <c r="Q48" s="1164">
        <v>31888</v>
      </c>
      <c r="R48" s="1164">
        <v>43888</v>
      </c>
      <c r="S48" s="1164">
        <v>51298</v>
      </c>
      <c r="T48" s="1164">
        <v>51298</v>
      </c>
      <c r="U48" s="1164">
        <v>51298</v>
      </c>
      <c r="V48" s="1164">
        <v>51298</v>
      </c>
      <c r="W48" s="1128"/>
    </row>
    <row r="49" spans="1:22" s="1129" customFormat="1" x14ac:dyDescent="0.25">
      <c r="A49" s="1125">
        <v>4081800100</v>
      </c>
      <c r="B49" s="1125">
        <v>2</v>
      </c>
      <c r="C49" s="1125">
        <v>4</v>
      </c>
      <c r="D49" s="1127" t="s">
        <v>2211</v>
      </c>
      <c r="E49" s="1126" t="s">
        <v>2253</v>
      </c>
      <c r="F49" s="1125">
        <v>287</v>
      </c>
      <c r="G49" s="1126" t="s">
        <v>753</v>
      </c>
      <c r="H49" s="1125">
        <v>1</v>
      </c>
      <c r="I49" s="1175" t="s">
        <v>1310</v>
      </c>
      <c r="J49" s="1126">
        <v>1</v>
      </c>
      <c r="K49" s="1125">
        <v>24</v>
      </c>
      <c r="L49" s="1125">
        <v>1</v>
      </c>
      <c r="M49" s="1125">
        <v>1</v>
      </c>
      <c r="N49" s="1126" t="s">
        <v>1259</v>
      </c>
      <c r="O49" s="1125">
        <v>13</v>
      </c>
      <c r="P49" s="1164">
        <v>24000</v>
      </c>
      <c r="Q49" s="1164">
        <v>-7350</v>
      </c>
      <c r="R49" s="1164">
        <v>16650</v>
      </c>
      <c r="S49" s="1164">
        <v>16650</v>
      </c>
      <c r="T49" s="1164">
        <v>16650</v>
      </c>
      <c r="U49" s="1164">
        <v>16650</v>
      </c>
      <c r="V49" s="1164">
        <v>16650</v>
      </c>
    </row>
    <row r="50" spans="1:22" s="1129" customFormat="1" x14ac:dyDescent="0.25">
      <c r="A50" s="1125">
        <v>4081800100</v>
      </c>
      <c r="B50" s="1125">
        <v>2</v>
      </c>
      <c r="C50" s="1125">
        <v>4</v>
      </c>
      <c r="D50" s="1127" t="s">
        <v>2211</v>
      </c>
      <c r="E50" s="1126" t="s">
        <v>2253</v>
      </c>
      <c r="F50" s="1125">
        <v>287</v>
      </c>
      <c r="G50" s="1126" t="s">
        <v>753</v>
      </c>
      <c r="H50" s="1125">
        <v>1</v>
      </c>
      <c r="I50" s="1175" t="s">
        <v>1311</v>
      </c>
      <c r="J50" s="1126">
        <v>1</v>
      </c>
      <c r="K50" s="1125">
        <v>24</v>
      </c>
      <c r="L50" s="1125">
        <v>1</v>
      </c>
      <c r="M50" s="1125">
        <v>1</v>
      </c>
      <c r="N50" s="1126" t="s">
        <v>1259</v>
      </c>
      <c r="O50" s="1125">
        <v>13</v>
      </c>
      <c r="P50" s="1164">
        <v>10400</v>
      </c>
      <c r="Q50" s="1164">
        <v>-7500</v>
      </c>
      <c r="R50" s="1164">
        <v>2900</v>
      </c>
      <c r="S50" s="1164">
        <v>2900</v>
      </c>
      <c r="T50" s="1164">
        <v>2900</v>
      </c>
      <c r="U50" s="1164">
        <v>2900</v>
      </c>
      <c r="V50" s="1164">
        <v>2900</v>
      </c>
    </row>
    <row r="51" spans="1:22" s="1129" customFormat="1" x14ac:dyDescent="0.25">
      <c r="A51" s="1125">
        <v>4081800100</v>
      </c>
      <c r="B51" s="1125">
        <v>2</v>
      </c>
      <c r="C51" s="1125">
        <v>4</v>
      </c>
      <c r="D51" s="1127" t="s">
        <v>2211</v>
      </c>
      <c r="E51" s="1126" t="s">
        <v>2253</v>
      </c>
      <c r="F51" s="1125">
        <v>287</v>
      </c>
      <c r="G51" s="1126" t="s">
        <v>753</v>
      </c>
      <c r="H51" s="1125">
        <v>1</v>
      </c>
      <c r="I51" s="1175" t="s">
        <v>1312</v>
      </c>
      <c r="J51" s="1126">
        <v>1</v>
      </c>
      <c r="K51" s="1125">
        <v>24</v>
      </c>
      <c r="L51" s="1125">
        <v>1</v>
      </c>
      <c r="M51" s="1125">
        <v>1</v>
      </c>
      <c r="N51" s="1126" t="s">
        <v>1259</v>
      </c>
      <c r="O51" s="1125">
        <v>13</v>
      </c>
      <c r="P51" s="1164">
        <v>3000</v>
      </c>
      <c r="Q51" s="1164">
        <v>-2084</v>
      </c>
      <c r="R51" s="1164">
        <v>916</v>
      </c>
      <c r="S51" s="1164">
        <v>916</v>
      </c>
      <c r="T51" s="1164">
        <v>916</v>
      </c>
      <c r="U51" s="1164">
        <v>916</v>
      </c>
      <c r="V51" s="1164">
        <v>916</v>
      </c>
    </row>
    <row r="52" spans="1:22" s="1129" customFormat="1" x14ac:dyDescent="0.25">
      <c r="A52" s="1125">
        <v>4081800100</v>
      </c>
      <c r="B52" s="1125">
        <v>2</v>
      </c>
      <c r="C52" s="1125">
        <v>4</v>
      </c>
      <c r="D52" s="1127" t="s">
        <v>2211</v>
      </c>
      <c r="E52" s="1126" t="s">
        <v>2253</v>
      </c>
      <c r="F52" s="1125">
        <v>287</v>
      </c>
      <c r="G52" s="1126" t="s">
        <v>753</v>
      </c>
      <c r="H52" s="1125">
        <v>1</v>
      </c>
      <c r="I52" s="1175" t="s">
        <v>1314</v>
      </c>
      <c r="J52" s="1126">
        <v>1</v>
      </c>
      <c r="K52" s="1125">
        <v>24</v>
      </c>
      <c r="L52" s="1125">
        <v>1</v>
      </c>
      <c r="M52" s="1125">
        <v>1</v>
      </c>
      <c r="N52" s="1126" t="s">
        <v>1259</v>
      </c>
      <c r="O52" s="1125">
        <v>13</v>
      </c>
      <c r="P52" s="1164">
        <v>884224</v>
      </c>
      <c r="Q52" s="1164">
        <v>0</v>
      </c>
      <c r="R52" s="1164">
        <v>884224</v>
      </c>
      <c r="S52" s="1164">
        <v>498645</v>
      </c>
      <c r="T52" s="1164">
        <v>498645</v>
      </c>
      <c r="U52" s="1164">
        <v>498645</v>
      </c>
      <c r="V52" s="1164">
        <v>498645</v>
      </c>
    </row>
    <row r="53" spans="1:22" s="1129" customFormat="1" x14ac:dyDescent="0.25">
      <c r="A53" s="1123">
        <v>4081800200</v>
      </c>
      <c r="B53" s="1125">
        <v>2</v>
      </c>
      <c r="C53" s="1125">
        <v>4</v>
      </c>
      <c r="D53" s="1127" t="s">
        <v>2211</v>
      </c>
      <c r="E53" s="1126" t="s">
        <v>2253</v>
      </c>
      <c r="F53" s="1127" t="s">
        <v>2252</v>
      </c>
      <c r="G53" s="1126" t="s">
        <v>753</v>
      </c>
      <c r="H53" s="1125">
        <v>1</v>
      </c>
      <c r="I53" s="1175" t="s">
        <v>1260</v>
      </c>
      <c r="J53" s="1126">
        <v>1</v>
      </c>
      <c r="K53" s="1125">
        <v>24</v>
      </c>
      <c r="L53" s="1125">
        <v>1</v>
      </c>
      <c r="M53" s="1125">
        <v>1</v>
      </c>
      <c r="N53" s="1126" t="s">
        <v>1259</v>
      </c>
      <c r="O53" s="1125">
        <v>13</v>
      </c>
      <c r="P53" s="1164">
        <v>3231988.8</v>
      </c>
      <c r="Q53" s="1164">
        <v>89210.14</v>
      </c>
      <c r="R53" s="1164">
        <v>3321198.94</v>
      </c>
      <c r="S53" s="1164">
        <v>3321198.94</v>
      </c>
      <c r="T53" s="1164">
        <v>3321198.94</v>
      </c>
      <c r="U53" s="1164">
        <v>3321198.94</v>
      </c>
      <c r="V53" s="1164">
        <v>3321198.94</v>
      </c>
    </row>
    <row r="54" spans="1:22" s="1129" customFormat="1" x14ac:dyDescent="0.25">
      <c r="A54" s="1123">
        <v>4081800200</v>
      </c>
      <c r="B54" s="1125">
        <v>2</v>
      </c>
      <c r="C54" s="1125">
        <v>4</v>
      </c>
      <c r="D54" s="1127" t="s">
        <v>2211</v>
      </c>
      <c r="E54" s="1126" t="s">
        <v>2253</v>
      </c>
      <c r="F54" s="1127" t="s">
        <v>2252</v>
      </c>
      <c r="G54" s="1126" t="s">
        <v>753</v>
      </c>
      <c r="H54" s="1125">
        <v>1</v>
      </c>
      <c r="I54" s="1175" t="s">
        <v>1261</v>
      </c>
      <c r="J54" s="1126">
        <v>1</v>
      </c>
      <c r="K54" s="1125">
        <v>24</v>
      </c>
      <c r="L54" s="1125">
        <v>1</v>
      </c>
      <c r="M54" s="1125">
        <v>1</v>
      </c>
      <c r="N54" s="1126" t="s">
        <v>1259</v>
      </c>
      <c r="O54" s="1125">
        <v>13</v>
      </c>
      <c r="P54" s="1164">
        <v>50040</v>
      </c>
      <c r="Q54" s="1164">
        <v>-31715</v>
      </c>
      <c r="R54" s="1164">
        <v>18325</v>
      </c>
      <c r="S54" s="1164">
        <v>18325</v>
      </c>
      <c r="T54" s="1164">
        <v>18325</v>
      </c>
      <c r="U54" s="1164">
        <v>18325</v>
      </c>
      <c r="V54" s="1164">
        <v>18325</v>
      </c>
    </row>
    <row r="55" spans="1:22" s="1129" customFormat="1" x14ac:dyDescent="0.25">
      <c r="A55" s="1123">
        <v>4081800200</v>
      </c>
      <c r="B55" s="1125">
        <v>2</v>
      </c>
      <c r="C55" s="1125">
        <v>4</v>
      </c>
      <c r="D55" s="1127" t="s">
        <v>2211</v>
      </c>
      <c r="E55" s="1126" t="s">
        <v>2253</v>
      </c>
      <c r="F55" s="1127" t="s">
        <v>2252</v>
      </c>
      <c r="G55" s="1126" t="s">
        <v>753</v>
      </c>
      <c r="H55" s="1125">
        <v>1</v>
      </c>
      <c r="I55" s="1175" t="s">
        <v>1262</v>
      </c>
      <c r="J55" s="1126">
        <v>1</v>
      </c>
      <c r="K55" s="1125">
        <v>24</v>
      </c>
      <c r="L55" s="1125">
        <v>1</v>
      </c>
      <c r="M55" s="1125">
        <v>1</v>
      </c>
      <c r="N55" s="1126" t="s">
        <v>1259</v>
      </c>
      <c r="O55" s="1125">
        <v>13</v>
      </c>
      <c r="P55" s="1164">
        <v>95097.12</v>
      </c>
      <c r="Q55" s="1164">
        <v>-7948.3</v>
      </c>
      <c r="R55" s="1164">
        <v>87148.82</v>
      </c>
      <c r="S55" s="1164">
        <v>87148.82</v>
      </c>
      <c r="T55" s="1164">
        <v>87148.82</v>
      </c>
      <c r="U55" s="1164">
        <v>87148.82</v>
      </c>
      <c r="V55" s="1164">
        <v>87148.82</v>
      </c>
    </row>
    <row r="56" spans="1:22" s="1129" customFormat="1" x14ac:dyDescent="0.25">
      <c r="A56" s="1123">
        <v>4081800200</v>
      </c>
      <c r="B56" s="1125">
        <v>2</v>
      </c>
      <c r="C56" s="1125">
        <v>4</v>
      </c>
      <c r="D56" s="1127" t="s">
        <v>2211</v>
      </c>
      <c r="E56" s="1126" t="s">
        <v>2253</v>
      </c>
      <c r="F56" s="1127" t="s">
        <v>2252</v>
      </c>
      <c r="G56" s="1126" t="s">
        <v>753</v>
      </c>
      <c r="H56" s="1125">
        <v>1</v>
      </c>
      <c r="I56" s="1175" t="s">
        <v>1263</v>
      </c>
      <c r="J56" s="1126">
        <v>1</v>
      </c>
      <c r="K56" s="1125">
        <v>24</v>
      </c>
      <c r="L56" s="1125">
        <v>1</v>
      </c>
      <c r="M56" s="1125">
        <v>1</v>
      </c>
      <c r="N56" s="1126" t="s">
        <v>1259</v>
      </c>
      <c r="O56" s="1125">
        <v>13</v>
      </c>
      <c r="P56" s="1164">
        <v>952141.44</v>
      </c>
      <c r="Q56" s="1164">
        <v>13402.98</v>
      </c>
      <c r="R56" s="1164">
        <v>965544.42</v>
      </c>
      <c r="S56" s="1164">
        <v>965544.42</v>
      </c>
      <c r="T56" s="1164">
        <v>965544.42</v>
      </c>
      <c r="U56" s="1164">
        <v>965544.42</v>
      </c>
      <c r="V56" s="1164">
        <v>965544.42</v>
      </c>
    </row>
    <row r="57" spans="1:22" s="1129" customFormat="1" x14ac:dyDescent="0.25">
      <c r="A57" s="1123">
        <v>4081800200</v>
      </c>
      <c r="B57" s="1125">
        <v>2</v>
      </c>
      <c r="C57" s="1125">
        <v>4</v>
      </c>
      <c r="D57" s="1127" t="s">
        <v>2211</v>
      </c>
      <c r="E57" s="1126" t="s">
        <v>2253</v>
      </c>
      <c r="F57" s="1127" t="s">
        <v>2252</v>
      </c>
      <c r="G57" s="1126" t="s">
        <v>753</v>
      </c>
      <c r="H57" s="1125">
        <v>1</v>
      </c>
      <c r="I57" s="1175" t="s">
        <v>1264</v>
      </c>
      <c r="J57" s="1126">
        <v>1</v>
      </c>
      <c r="K57" s="1125">
        <v>24</v>
      </c>
      <c r="L57" s="1125">
        <v>1</v>
      </c>
      <c r="M57" s="1125">
        <v>1</v>
      </c>
      <c r="N57" s="1126" t="s">
        <v>1259</v>
      </c>
      <c r="O57" s="1125">
        <v>13</v>
      </c>
      <c r="P57" s="1164">
        <v>294372.46999999997</v>
      </c>
      <c r="Q57" s="1164">
        <v>-57926.94</v>
      </c>
      <c r="R57" s="1164">
        <v>236445.53</v>
      </c>
      <c r="S57" s="1164">
        <v>236445.53</v>
      </c>
      <c r="T57" s="1164">
        <v>236445.53</v>
      </c>
      <c r="U57" s="1164">
        <v>236445.53</v>
      </c>
      <c r="V57" s="1164">
        <v>236445.53</v>
      </c>
    </row>
    <row r="58" spans="1:22" s="1129" customFormat="1" x14ac:dyDescent="0.25">
      <c r="A58" s="1123">
        <v>4081800200</v>
      </c>
      <c r="B58" s="1125">
        <v>2</v>
      </c>
      <c r="C58" s="1125">
        <v>4</v>
      </c>
      <c r="D58" s="1127" t="s">
        <v>2211</v>
      </c>
      <c r="E58" s="1126" t="s">
        <v>2253</v>
      </c>
      <c r="F58" s="1127" t="s">
        <v>2252</v>
      </c>
      <c r="G58" s="1126" t="s">
        <v>753</v>
      </c>
      <c r="H58" s="1125">
        <v>1</v>
      </c>
      <c r="I58" s="1175" t="s">
        <v>1265</v>
      </c>
      <c r="J58" s="1126">
        <v>1</v>
      </c>
      <c r="K58" s="1125">
        <v>24</v>
      </c>
      <c r="L58" s="1125">
        <v>1</v>
      </c>
      <c r="M58" s="1125">
        <v>1</v>
      </c>
      <c r="N58" s="1126" t="s">
        <v>1259</v>
      </c>
      <c r="O58" s="1125">
        <v>13</v>
      </c>
      <c r="P58" s="1164">
        <v>259471.37</v>
      </c>
      <c r="Q58" s="1164">
        <v>64775.58</v>
      </c>
      <c r="R58" s="1164">
        <v>324246.95</v>
      </c>
      <c r="S58" s="1164">
        <v>324246.95</v>
      </c>
      <c r="T58" s="1164">
        <v>324246.95</v>
      </c>
      <c r="U58" s="1164">
        <v>324246.95</v>
      </c>
      <c r="V58" s="1164">
        <v>324246.95</v>
      </c>
    </row>
    <row r="59" spans="1:22" s="1129" customFormat="1" x14ac:dyDescent="0.25">
      <c r="A59" s="1123">
        <v>4081800200</v>
      </c>
      <c r="B59" s="1125">
        <v>2</v>
      </c>
      <c r="C59" s="1125">
        <v>4</v>
      </c>
      <c r="D59" s="1127" t="s">
        <v>2211</v>
      </c>
      <c r="E59" s="1126" t="s">
        <v>2253</v>
      </c>
      <c r="F59" s="1127" t="s">
        <v>2252</v>
      </c>
      <c r="G59" s="1126" t="s">
        <v>753</v>
      </c>
      <c r="H59" s="1125">
        <v>1</v>
      </c>
      <c r="I59" s="1175" t="s">
        <v>1266</v>
      </c>
      <c r="J59" s="1126">
        <v>1</v>
      </c>
      <c r="K59" s="1125">
        <v>24</v>
      </c>
      <c r="L59" s="1125">
        <v>1</v>
      </c>
      <c r="M59" s="1125">
        <v>1</v>
      </c>
      <c r="N59" s="1126" t="s">
        <v>1259</v>
      </c>
      <c r="O59" s="1125">
        <v>13</v>
      </c>
      <c r="P59" s="1164">
        <v>534942.73</v>
      </c>
      <c r="Q59" s="1164">
        <v>177319.58</v>
      </c>
      <c r="R59" s="1164">
        <v>712262.31</v>
      </c>
      <c r="S59" s="1164">
        <v>712262.31</v>
      </c>
      <c r="T59" s="1164">
        <v>712262.31</v>
      </c>
      <c r="U59" s="1164">
        <v>712262.31</v>
      </c>
      <c r="V59" s="1164">
        <v>712262.31</v>
      </c>
    </row>
    <row r="60" spans="1:22" s="1129" customFormat="1" x14ac:dyDescent="0.25">
      <c r="A60" s="1123">
        <v>4081800200</v>
      </c>
      <c r="B60" s="1125">
        <v>2</v>
      </c>
      <c r="C60" s="1125">
        <v>4</v>
      </c>
      <c r="D60" s="1127" t="s">
        <v>2211</v>
      </c>
      <c r="E60" s="1126" t="s">
        <v>2253</v>
      </c>
      <c r="F60" s="1127" t="s">
        <v>2252</v>
      </c>
      <c r="G60" s="1126" t="s">
        <v>753</v>
      </c>
      <c r="H60" s="1125">
        <v>1</v>
      </c>
      <c r="I60" s="1175" t="s">
        <v>2119</v>
      </c>
      <c r="J60" s="1126">
        <v>1</v>
      </c>
      <c r="K60" s="1125">
        <v>24</v>
      </c>
      <c r="L60" s="1125">
        <v>1</v>
      </c>
      <c r="M60" s="1125">
        <v>1</v>
      </c>
      <c r="N60" s="1126" t="s">
        <v>1259</v>
      </c>
      <c r="O60" s="1125">
        <v>13</v>
      </c>
      <c r="P60" s="1164">
        <v>64867.839999999997</v>
      </c>
      <c r="Q60" s="1164">
        <v>1148.0899999999999</v>
      </c>
      <c r="R60" s="1164">
        <v>66015.929999999993</v>
      </c>
      <c r="S60" s="1164">
        <v>66015.929999999993</v>
      </c>
      <c r="T60" s="1164">
        <v>66015.929999999993</v>
      </c>
      <c r="U60" s="1164">
        <v>66015.929999999993</v>
      </c>
      <c r="V60" s="1164">
        <v>66015.929999999993</v>
      </c>
    </row>
    <row r="61" spans="1:22" s="1129" customFormat="1" x14ac:dyDescent="0.25">
      <c r="A61" s="1123">
        <v>4081800200</v>
      </c>
      <c r="B61" s="1125">
        <v>2</v>
      </c>
      <c r="C61" s="1125">
        <v>4</v>
      </c>
      <c r="D61" s="1127" t="s">
        <v>2211</v>
      </c>
      <c r="E61" s="1126" t="s">
        <v>2253</v>
      </c>
      <c r="F61" s="1127" t="s">
        <v>2252</v>
      </c>
      <c r="G61" s="1126" t="s">
        <v>753</v>
      </c>
      <c r="H61" s="1125">
        <v>1</v>
      </c>
      <c r="I61" s="1175" t="s">
        <v>2120</v>
      </c>
      <c r="J61" s="1126">
        <v>1</v>
      </c>
      <c r="K61" s="1125">
        <v>24</v>
      </c>
      <c r="L61" s="1125">
        <v>1</v>
      </c>
      <c r="M61" s="1125">
        <v>1</v>
      </c>
      <c r="N61" s="1126" t="s">
        <v>1259</v>
      </c>
      <c r="O61" s="1125">
        <v>13</v>
      </c>
      <c r="P61" s="1164">
        <v>64867.839999999997</v>
      </c>
      <c r="Q61" s="1164">
        <v>1148.0899999999999</v>
      </c>
      <c r="R61" s="1164">
        <v>66015.929999999993</v>
      </c>
      <c r="S61" s="1164">
        <v>66015.929999999993</v>
      </c>
      <c r="T61" s="1164">
        <v>66015.929999999993</v>
      </c>
      <c r="U61" s="1164">
        <v>66015.929999999993</v>
      </c>
      <c r="V61" s="1164">
        <v>66015.929999999993</v>
      </c>
    </row>
    <row r="62" spans="1:22" s="1129" customFormat="1" x14ac:dyDescent="0.25">
      <c r="A62" s="1123">
        <v>4081800200</v>
      </c>
      <c r="B62" s="1125">
        <v>2</v>
      </c>
      <c r="C62" s="1125">
        <v>4</v>
      </c>
      <c r="D62" s="1127" t="s">
        <v>2211</v>
      </c>
      <c r="E62" s="1126" t="s">
        <v>2253</v>
      </c>
      <c r="F62" s="1127" t="s">
        <v>2252</v>
      </c>
      <c r="G62" s="1126" t="s">
        <v>753</v>
      </c>
      <c r="H62" s="1125">
        <v>1</v>
      </c>
      <c r="I62" s="1175" t="s">
        <v>1267</v>
      </c>
      <c r="J62" s="1126">
        <v>1</v>
      </c>
      <c r="K62" s="1125">
        <v>24</v>
      </c>
      <c r="L62" s="1125">
        <v>1</v>
      </c>
      <c r="M62" s="1125">
        <v>1</v>
      </c>
      <c r="N62" s="1126" t="s">
        <v>1259</v>
      </c>
      <c r="O62" s="1125">
        <v>13</v>
      </c>
      <c r="P62" s="1164">
        <v>246.24</v>
      </c>
      <c r="Q62" s="1164">
        <v>-3.99</v>
      </c>
      <c r="R62" s="1164">
        <v>242.25</v>
      </c>
      <c r="S62" s="1164">
        <v>242.25</v>
      </c>
      <c r="T62" s="1164">
        <v>242.25</v>
      </c>
      <c r="U62" s="1164">
        <v>242.25</v>
      </c>
      <c r="V62" s="1164">
        <v>242.25</v>
      </c>
    </row>
    <row r="63" spans="1:22" s="1129" customFormat="1" x14ac:dyDescent="0.25">
      <c r="A63" s="1123">
        <v>4081800200</v>
      </c>
      <c r="B63" s="1125">
        <v>2</v>
      </c>
      <c r="C63" s="1125">
        <v>4</v>
      </c>
      <c r="D63" s="1127" t="s">
        <v>2211</v>
      </c>
      <c r="E63" s="1126" t="s">
        <v>2253</v>
      </c>
      <c r="F63" s="1127" t="s">
        <v>2252</v>
      </c>
      <c r="G63" s="1126" t="s">
        <v>753</v>
      </c>
      <c r="H63" s="1125">
        <v>1</v>
      </c>
      <c r="I63" s="1175" t="s">
        <v>1268</v>
      </c>
      <c r="J63" s="1126">
        <v>1</v>
      </c>
      <c r="K63" s="1125">
        <v>24</v>
      </c>
      <c r="L63" s="1125">
        <v>1</v>
      </c>
      <c r="M63" s="1125">
        <v>1</v>
      </c>
      <c r="N63" s="1126" t="s">
        <v>1259</v>
      </c>
      <c r="O63" s="1125">
        <v>13</v>
      </c>
      <c r="P63" s="1164">
        <v>2453.7600000000002</v>
      </c>
      <c r="Q63" s="1164">
        <v>-38.81</v>
      </c>
      <c r="R63" s="1164">
        <v>2414.9499999999998</v>
      </c>
      <c r="S63" s="1164">
        <v>2414.9499999999998</v>
      </c>
      <c r="T63" s="1164">
        <v>2414.9499999999998</v>
      </c>
      <c r="U63" s="1164">
        <v>2414.9499999999998</v>
      </c>
      <c r="V63" s="1164">
        <v>2414.9499999999998</v>
      </c>
    </row>
    <row r="64" spans="1:22" s="1129" customFormat="1" x14ac:dyDescent="0.25">
      <c r="A64" s="1123">
        <v>4081800200</v>
      </c>
      <c r="B64" s="1125">
        <v>2</v>
      </c>
      <c r="C64" s="1125">
        <v>4</v>
      </c>
      <c r="D64" s="1127" t="s">
        <v>2211</v>
      </c>
      <c r="E64" s="1126" t="s">
        <v>2253</v>
      </c>
      <c r="F64" s="1127" t="s">
        <v>2252</v>
      </c>
      <c r="G64" s="1126" t="s">
        <v>753</v>
      </c>
      <c r="H64" s="1125">
        <v>1</v>
      </c>
      <c r="I64" s="1175" t="s">
        <v>1269</v>
      </c>
      <c r="J64" s="1126">
        <v>1</v>
      </c>
      <c r="K64" s="1125">
        <v>24</v>
      </c>
      <c r="L64" s="1125">
        <v>1</v>
      </c>
      <c r="M64" s="1125">
        <v>1</v>
      </c>
      <c r="N64" s="1126" t="s">
        <v>1259</v>
      </c>
      <c r="O64" s="1125">
        <v>13</v>
      </c>
      <c r="P64" s="1164">
        <v>26904.240000000002</v>
      </c>
      <c r="Q64" s="1164">
        <v>682.58</v>
      </c>
      <c r="R64" s="1164">
        <v>27586.82</v>
      </c>
      <c r="S64" s="1164">
        <v>27586.82</v>
      </c>
      <c r="T64" s="1164">
        <v>27586.82</v>
      </c>
      <c r="U64" s="1164">
        <v>27586.82</v>
      </c>
      <c r="V64" s="1164">
        <v>27586.82</v>
      </c>
    </row>
    <row r="65" spans="1:22" s="1129" customFormat="1" x14ac:dyDescent="0.25">
      <c r="A65" s="1123">
        <v>4081800200</v>
      </c>
      <c r="B65" s="1125">
        <v>2</v>
      </c>
      <c r="C65" s="1125">
        <v>4</v>
      </c>
      <c r="D65" s="1127" t="s">
        <v>2211</v>
      </c>
      <c r="E65" s="1126" t="s">
        <v>2253</v>
      </c>
      <c r="F65" s="1127" t="s">
        <v>2252</v>
      </c>
      <c r="G65" s="1126" t="s">
        <v>753</v>
      </c>
      <c r="H65" s="1125">
        <v>1</v>
      </c>
      <c r="I65" s="1175" t="s">
        <v>1270</v>
      </c>
      <c r="J65" s="1126">
        <v>1</v>
      </c>
      <c r="K65" s="1125">
        <v>24</v>
      </c>
      <c r="L65" s="1125">
        <v>1</v>
      </c>
      <c r="M65" s="1125">
        <v>1</v>
      </c>
      <c r="N65" s="1126" t="s">
        <v>1259</v>
      </c>
      <c r="O65" s="1125">
        <v>13</v>
      </c>
      <c r="P65" s="1164">
        <v>161453.04</v>
      </c>
      <c r="Q65" s="1164">
        <v>4069</v>
      </c>
      <c r="R65" s="1164">
        <v>165522.04</v>
      </c>
      <c r="S65" s="1164">
        <v>165522.04</v>
      </c>
      <c r="T65" s="1164">
        <v>165522.04</v>
      </c>
      <c r="U65" s="1164">
        <v>165522.04</v>
      </c>
      <c r="V65" s="1164">
        <v>165522.04</v>
      </c>
    </row>
    <row r="66" spans="1:22" s="1129" customFormat="1" x14ac:dyDescent="0.25">
      <c r="A66" s="1123">
        <v>4081800200</v>
      </c>
      <c r="B66" s="1125">
        <v>2</v>
      </c>
      <c r="C66" s="1125">
        <v>4</v>
      </c>
      <c r="D66" s="1127" t="s">
        <v>2211</v>
      </c>
      <c r="E66" s="1126" t="s">
        <v>2253</v>
      </c>
      <c r="F66" s="1127" t="s">
        <v>2252</v>
      </c>
      <c r="G66" s="1126" t="s">
        <v>753</v>
      </c>
      <c r="H66" s="1125">
        <v>1</v>
      </c>
      <c r="I66" s="1175" t="s">
        <v>1271</v>
      </c>
      <c r="J66" s="1126">
        <v>1</v>
      </c>
      <c r="K66" s="1125">
        <v>24</v>
      </c>
      <c r="L66" s="1125">
        <v>1</v>
      </c>
      <c r="M66" s="1125">
        <v>1</v>
      </c>
      <c r="N66" s="1126" t="s">
        <v>1259</v>
      </c>
      <c r="O66" s="1125">
        <v>13</v>
      </c>
      <c r="P66" s="1164">
        <v>53810.400000000001</v>
      </c>
      <c r="Q66" s="1164">
        <v>1363.85</v>
      </c>
      <c r="R66" s="1164">
        <v>55174.25</v>
      </c>
      <c r="S66" s="1164">
        <v>55174.25</v>
      </c>
      <c r="T66" s="1164">
        <v>55174.25</v>
      </c>
      <c r="U66" s="1164">
        <v>55174.25</v>
      </c>
      <c r="V66" s="1164">
        <v>55174.25</v>
      </c>
    </row>
    <row r="67" spans="1:22" s="1129" customFormat="1" x14ac:dyDescent="0.25">
      <c r="A67" s="1123">
        <v>4081800200</v>
      </c>
      <c r="B67" s="1125">
        <v>2</v>
      </c>
      <c r="C67" s="1125">
        <v>4</v>
      </c>
      <c r="D67" s="1127" t="s">
        <v>2211</v>
      </c>
      <c r="E67" s="1126" t="s">
        <v>2253</v>
      </c>
      <c r="F67" s="1127" t="s">
        <v>2252</v>
      </c>
      <c r="G67" s="1126" t="s">
        <v>753</v>
      </c>
      <c r="H67" s="1125">
        <v>1</v>
      </c>
      <c r="I67" s="1175" t="s">
        <v>1272</v>
      </c>
      <c r="J67" s="1126">
        <v>1</v>
      </c>
      <c r="K67" s="1125">
        <v>24</v>
      </c>
      <c r="L67" s="1125">
        <v>1</v>
      </c>
      <c r="M67" s="1125">
        <v>1</v>
      </c>
      <c r="N67" s="1126" t="s">
        <v>1259</v>
      </c>
      <c r="O67" s="1125">
        <v>13</v>
      </c>
      <c r="P67" s="1164">
        <v>170568</v>
      </c>
      <c r="Q67" s="1164">
        <v>-20537</v>
      </c>
      <c r="R67" s="1164">
        <v>150031</v>
      </c>
      <c r="S67" s="1164">
        <v>150031</v>
      </c>
      <c r="T67" s="1164">
        <v>150031</v>
      </c>
      <c r="U67" s="1164">
        <v>150031</v>
      </c>
      <c r="V67" s="1164">
        <v>150031</v>
      </c>
    </row>
    <row r="68" spans="1:22" s="1129" customFormat="1" x14ac:dyDescent="0.25">
      <c r="A68" s="1123">
        <v>4081800200</v>
      </c>
      <c r="B68" s="1125">
        <v>2</v>
      </c>
      <c r="C68" s="1125">
        <v>4</v>
      </c>
      <c r="D68" s="1127" t="s">
        <v>2211</v>
      </c>
      <c r="E68" s="1126" t="s">
        <v>2253</v>
      </c>
      <c r="F68" s="1127" t="s">
        <v>2252</v>
      </c>
      <c r="G68" s="1126" t="s">
        <v>753</v>
      </c>
      <c r="H68" s="1125">
        <v>1</v>
      </c>
      <c r="I68" s="1175" t="s">
        <v>1273</v>
      </c>
      <c r="J68" s="1126">
        <v>1</v>
      </c>
      <c r="K68" s="1125">
        <v>24</v>
      </c>
      <c r="L68" s="1125">
        <v>1</v>
      </c>
      <c r="M68" s="1125">
        <v>1</v>
      </c>
      <c r="N68" s="1126" t="s">
        <v>1259</v>
      </c>
      <c r="O68" s="1125">
        <v>13</v>
      </c>
      <c r="P68" s="1164">
        <v>457380.48</v>
      </c>
      <c r="Q68" s="1164">
        <v>569137.05000000005</v>
      </c>
      <c r="R68" s="1164">
        <v>1026517.53</v>
      </c>
      <c r="S68" s="1164">
        <v>1026517.53</v>
      </c>
      <c r="T68" s="1164">
        <v>1026517.53</v>
      </c>
      <c r="U68" s="1164">
        <v>1026517.53</v>
      </c>
      <c r="V68" s="1164">
        <v>468978.29</v>
      </c>
    </row>
    <row r="69" spans="1:22" s="1129" customFormat="1" x14ac:dyDescent="0.25">
      <c r="A69" s="1123">
        <v>4081800200</v>
      </c>
      <c r="B69" s="1125">
        <v>2</v>
      </c>
      <c r="C69" s="1125">
        <v>4</v>
      </c>
      <c r="D69" s="1127" t="s">
        <v>2211</v>
      </c>
      <c r="E69" s="1126" t="s">
        <v>2253</v>
      </c>
      <c r="F69" s="1127" t="s">
        <v>2252</v>
      </c>
      <c r="G69" s="1126" t="s">
        <v>753</v>
      </c>
      <c r="H69" s="1125">
        <v>1</v>
      </c>
      <c r="I69" s="1175" t="s">
        <v>1274</v>
      </c>
      <c r="J69" s="1126">
        <v>1</v>
      </c>
      <c r="K69" s="1125">
        <v>24</v>
      </c>
      <c r="L69" s="1125">
        <v>1</v>
      </c>
      <c r="M69" s="1125">
        <v>1</v>
      </c>
      <c r="N69" s="1126" t="s">
        <v>1259</v>
      </c>
      <c r="O69" s="1125">
        <v>13</v>
      </c>
      <c r="P69" s="1164">
        <v>26904.240000000002</v>
      </c>
      <c r="Q69" s="1164">
        <v>682.58</v>
      </c>
      <c r="R69" s="1164">
        <v>27586.82</v>
      </c>
      <c r="S69" s="1164">
        <v>27586.82</v>
      </c>
      <c r="T69" s="1164">
        <v>27586.82</v>
      </c>
      <c r="U69" s="1164">
        <v>27586.82</v>
      </c>
      <c r="V69" s="1164">
        <v>27586.82</v>
      </c>
    </row>
    <row r="70" spans="1:22" s="1129" customFormat="1" x14ac:dyDescent="0.25">
      <c r="A70" s="1123">
        <v>4081800200</v>
      </c>
      <c r="B70" s="1125">
        <v>2</v>
      </c>
      <c r="C70" s="1125">
        <v>4</v>
      </c>
      <c r="D70" s="1127" t="s">
        <v>2211</v>
      </c>
      <c r="E70" s="1126" t="s">
        <v>2253</v>
      </c>
      <c r="F70" s="1127" t="s">
        <v>2252</v>
      </c>
      <c r="G70" s="1126" t="s">
        <v>753</v>
      </c>
      <c r="H70" s="1125">
        <v>1</v>
      </c>
      <c r="I70" s="1175" t="s">
        <v>1275</v>
      </c>
      <c r="J70" s="1126">
        <v>1</v>
      </c>
      <c r="K70" s="1125">
        <v>24</v>
      </c>
      <c r="L70" s="1125">
        <v>1</v>
      </c>
      <c r="M70" s="1125">
        <v>1</v>
      </c>
      <c r="N70" s="1126" t="s">
        <v>1259</v>
      </c>
      <c r="O70" s="1125">
        <v>13</v>
      </c>
      <c r="P70" s="1164">
        <v>215237.52</v>
      </c>
      <c r="Q70" s="1164">
        <v>5458.16</v>
      </c>
      <c r="R70" s="1164">
        <v>220695.67999999999</v>
      </c>
      <c r="S70" s="1164">
        <v>220695.67999999999</v>
      </c>
      <c r="T70" s="1164">
        <v>220695.67999999999</v>
      </c>
      <c r="U70" s="1164">
        <v>220695.67999999999</v>
      </c>
      <c r="V70" s="1164">
        <v>220695.67999999999</v>
      </c>
    </row>
    <row r="71" spans="1:22" s="1129" customFormat="1" x14ac:dyDescent="0.25">
      <c r="A71" s="1123">
        <v>4081800200</v>
      </c>
      <c r="B71" s="1125">
        <v>2</v>
      </c>
      <c r="C71" s="1125">
        <v>4</v>
      </c>
      <c r="D71" s="1127" t="s">
        <v>2211</v>
      </c>
      <c r="E71" s="1126" t="s">
        <v>2253</v>
      </c>
      <c r="F71" s="1127" t="s">
        <v>2252</v>
      </c>
      <c r="G71" s="1126" t="s">
        <v>753</v>
      </c>
      <c r="H71" s="1125">
        <v>1</v>
      </c>
      <c r="I71" s="1175" t="s">
        <v>1276</v>
      </c>
      <c r="J71" s="1126">
        <v>1</v>
      </c>
      <c r="K71" s="1125">
        <v>24</v>
      </c>
      <c r="L71" s="1125">
        <v>1</v>
      </c>
      <c r="M71" s="1125">
        <v>1</v>
      </c>
      <c r="N71" s="1126" t="s">
        <v>1259</v>
      </c>
      <c r="O71" s="1125">
        <v>13</v>
      </c>
      <c r="P71" s="1164">
        <v>914761.92</v>
      </c>
      <c r="Q71" s="1164">
        <v>23195.17</v>
      </c>
      <c r="R71" s="1164">
        <v>937957.09</v>
      </c>
      <c r="S71" s="1164">
        <v>937957.09</v>
      </c>
      <c r="T71" s="1164">
        <v>937957.09</v>
      </c>
      <c r="U71" s="1164">
        <v>937957.09</v>
      </c>
      <c r="V71" s="1164">
        <v>937957.09</v>
      </c>
    </row>
    <row r="72" spans="1:22" s="1129" customFormat="1" x14ac:dyDescent="0.25">
      <c r="A72" s="1123">
        <v>4081800200</v>
      </c>
      <c r="B72" s="1125">
        <v>2</v>
      </c>
      <c r="C72" s="1125">
        <v>4</v>
      </c>
      <c r="D72" s="1127" t="s">
        <v>2211</v>
      </c>
      <c r="E72" s="1126" t="s">
        <v>2253</v>
      </c>
      <c r="F72" s="1127" t="s">
        <v>2252</v>
      </c>
      <c r="G72" s="1126" t="s">
        <v>753</v>
      </c>
      <c r="H72" s="1125">
        <v>1</v>
      </c>
      <c r="I72" s="1175" t="s">
        <v>1277</v>
      </c>
      <c r="J72" s="1126">
        <v>1</v>
      </c>
      <c r="K72" s="1125">
        <v>24</v>
      </c>
      <c r="L72" s="1125">
        <v>1</v>
      </c>
      <c r="M72" s="1125">
        <v>1</v>
      </c>
      <c r="N72" s="1126" t="s">
        <v>1259</v>
      </c>
      <c r="O72" s="1125">
        <v>13</v>
      </c>
      <c r="P72" s="1164">
        <v>4752</v>
      </c>
      <c r="Q72" s="1164">
        <v>32923</v>
      </c>
      <c r="R72" s="1164">
        <v>37675</v>
      </c>
      <c r="S72" s="1164">
        <v>37675</v>
      </c>
      <c r="T72" s="1164">
        <v>37675</v>
      </c>
      <c r="U72" s="1164">
        <v>37675</v>
      </c>
      <c r="V72" s="1164">
        <v>4675</v>
      </c>
    </row>
    <row r="73" spans="1:22" s="1129" customFormat="1" x14ac:dyDescent="0.25">
      <c r="A73" s="1123">
        <v>4081800200</v>
      </c>
      <c r="B73" s="1125">
        <v>2</v>
      </c>
      <c r="C73" s="1125">
        <v>4</v>
      </c>
      <c r="D73" s="1127" t="s">
        <v>2211</v>
      </c>
      <c r="E73" s="1126" t="s">
        <v>2253</v>
      </c>
      <c r="F73" s="1127" t="s">
        <v>2252</v>
      </c>
      <c r="G73" s="1126" t="s">
        <v>753</v>
      </c>
      <c r="H73" s="1125">
        <v>1</v>
      </c>
      <c r="I73" s="1175" t="s">
        <v>2229</v>
      </c>
      <c r="J73" s="1126">
        <v>1</v>
      </c>
      <c r="K73" s="1125">
        <v>24</v>
      </c>
      <c r="L73" s="1125">
        <v>1</v>
      </c>
      <c r="M73" s="1125">
        <v>1</v>
      </c>
      <c r="N73" s="1126" t="s">
        <v>1259</v>
      </c>
      <c r="O73" s="1125">
        <v>13</v>
      </c>
      <c r="P73" s="1164">
        <v>108000</v>
      </c>
      <c r="Q73" s="1164">
        <v>-108000</v>
      </c>
      <c r="R73" s="1164">
        <v>0</v>
      </c>
      <c r="S73" s="1164">
        <v>0</v>
      </c>
      <c r="T73" s="1164">
        <v>0</v>
      </c>
      <c r="U73" s="1164">
        <v>0</v>
      </c>
      <c r="V73" s="1164">
        <v>0</v>
      </c>
    </row>
    <row r="74" spans="1:22" s="1129" customFormat="1" x14ac:dyDescent="0.25">
      <c r="A74" s="1123">
        <v>4081800200</v>
      </c>
      <c r="B74" s="1125">
        <v>2</v>
      </c>
      <c r="C74" s="1125">
        <v>4</v>
      </c>
      <c r="D74" s="1127" t="s">
        <v>2211</v>
      </c>
      <c r="E74" s="1126" t="s">
        <v>2253</v>
      </c>
      <c r="F74" s="1127" t="s">
        <v>2252</v>
      </c>
      <c r="G74" s="1126" t="s">
        <v>753</v>
      </c>
      <c r="H74" s="1125">
        <v>1</v>
      </c>
      <c r="I74" s="1175" t="s">
        <v>1278</v>
      </c>
      <c r="J74" s="1126">
        <v>1</v>
      </c>
      <c r="K74" s="1125">
        <v>24</v>
      </c>
      <c r="L74" s="1125">
        <v>1</v>
      </c>
      <c r="M74" s="1125">
        <v>1</v>
      </c>
      <c r="N74" s="1126" t="s">
        <v>1259</v>
      </c>
      <c r="O74" s="1125">
        <v>13</v>
      </c>
      <c r="P74" s="1164">
        <v>1806</v>
      </c>
      <c r="Q74" s="1164">
        <v>-161.25</v>
      </c>
      <c r="R74" s="1164">
        <v>1644.75</v>
      </c>
      <c r="S74" s="1164">
        <v>1644.75</v>
      </c>
      <c r="T74" s="1164">
        <v>1644.75</v>
      </c>
      <c r="U74" s="1164">
        <v>1644.75</v>
      </c>
      <c r="V74" s="1164">
        <v>1644.75</v>
      </c>
    </row>
    <row r="75" spans="1:22" s="1129" customFormat="1" x14ac:dyDescent="0.25">
      <c r="A75" s="1123">
        <v>4081800200</v>
      </c>
      <c r="B75" s="1125">
        <v>2</v>
      </c>
      <c r="C75" s="1125">
        <v>4</v>
      </c>
      <c r="D75" s="1127" t="s">
        <v>2211</v>
      </c>
      <c r="E75" s="1126" t="s">
        <v>2253</v>
      </c>
      <c r="F75" s="1127" t="s">
        <v>2252</v>
      </c>
      <c r="G75" s="1126" t="s">
        <v>753</v>
      </c>
      <c r="H75" s="1125">
        <v>1</v>
      </c>
      <c r="I75" s="1175" t="s">
        <v>1279</v>
      </c>
      <c r="J75" s="1126">
        <v>1</v>
      </c>
      <c r="K75" s="1125">
        <v>24</v>
      </c>
      <c r="L75" s="1125">
        <v>1</v>
      </c>
      <c r="M75" s="1125">
        <v>1</v>
      </c>
      <c r="N75" s="1126" t="s">
        <v>1259</v>
      </c>
      <c r="O75" s="1125">
        <v>13</v>
      </c>
      <c r="P75" s="1164">
        <v>16805.04</v>
      </c>
      <c r="Q75" s="1164">
        <v>-1482.74</v>
      </c>
      <c r="R75" s="1164">
        <v>15322.3</v>
      </c>
      <c r="S75" s="1164">
        <v>15322.3</v>
      </c>
      <c r="T75" s="1164">
        <v>15322.3</v>
      </c>
      <c r="U75" s="1164">
        <v>15322.3</v>
      </c>
      <c r="V75" s="1164">
        <v>15322.3</v>
      </c>
    </row>
    <row r="76" spans="1:22" s="1129" customFormat="1" x14ac:dyDescent="0.25">
      <c r="A76" s="1123">
        <v>4081800200</v>
      </c>
      <c r="B76" s="1125">
        <v>2</v>
      </c>
      <c r="C76" s="1125">
        <v>4</v>
      </c>
      <c r="D76" s="1127" t="s">
        <v>2211</v>
      </c>
      <c r="E76" s="1126" t="s">
        <v>2253</v>
      </c>
      <c r="F76" s="1127" t="s">
        <v>2252</v>
      </c>
      <c r="G76" s="1126" t="s">
        <v>753</v>
      </c>
      <c r="H76" s="1125">
        <v>1</v>
      </c>
      <c r="I76" s="1175" t="s">
        <v>2246</v>
      </c>
      <c r="J76" s="1126">
        <v>1</v>
      </c>
      <c r="K76" s="1125">
        <v>24</v>
      </c>
      <c r="L76" s="1125">
        <v>1</v>
      </c>
      <c r="M76" s="1125">
        <v>1</v>
      </c>
      <c r="N76" s="1126" t="s">
        <v>1259</v>
      </c>
      <c r="O76" s="1125">
        <v>13</v>
      </c>
      <c r="P76" s="1164">
        <v>0</v>
      </c>
      <c r="Q76" s="1164">
        <v>141714.14000000001</v>
      </c>
      <c r="R76" s="1164">
        <v>141714.14000000001</v>
      </c>
      <c r="S76" s="1164">
        <v>141714.14000000001</v>
      </c>
      <c r="T76" s="1164">
        <v>141714.14000000001</v>
      </c>
      <c r="U76" s="1164">
        <v>141714.14000000001</v>
      </c>
      <c r="V76" s="1164">
        <v>141714.14000000001</v>
      </c>
    </row>
    <row r="77" spans="1:22" s="1129" customFormat="1" x14ac:dyDescent="0.25">
      <c r="A77" s="1123">
        <v>4081800200</v>
      </c>
      <c r="B77" s="1125">
        <v>2</v>
      </c>
      <c r="C77" s="1125">
        <v>4</v>
      </c>
      <c r="D77" s="1127" t="s">
        <v>2211</v>
      </c>
      <c r="E77" s="1126" t="s">
        <v>2253</v>
      </c>
      <c r="F77" s="1127" t="s">
        <v>2252</v>
      </c>
      <c r="G77" s="1126" t="s">
        <v>753</v>
      </c>
      <c r="H77" s="1125">
        <v>1</v>
      </c>
      <c r="I77" s="1175" t="s">
        <v>1280</v>
      </c>
      <c r="J77" s="1126">
        <v>1</v>
      </c>
      <c r="K77" s="1125">
        <v>24</v>
      </c>
      <c r="L77" s="1125">
        <v>1</v>
      </c>
      <c r="M77" s="1125">
        <v>1</v>
      </c>
      <c r="N77" s="1126" t="s">
        <v>1259</v>
      </c>
      <c r="O77" s="1125">
        <v>13</v>
      </c>
      <c r="P77" s="1164">
        <v>65425.75</v>
      </c>
      <c r="Q77" s="1164">
        <v>22146.27</v>
      </c>
      <c r="R77" s="1164">
        <v>87572.02</v>
      </c>
      <c r="S77" s="1164">
        <v>87572.02</v>
      </c>
      <c r="T77" s="1164">
        <v>87572.02</v>
      </c>
      <c r="U77" s="1164">
        <v>87572.02</v>
      </c>
      <c r="V77" s="1164">
        <v>63089.86</v>
      </c>
    </row>
    <row r="78" spans="1:22" s="1129" customFormat="1" x14ac:dyDescent="0.25">
      <c r="A78" s="1123">
        <v>4081800200</v>
      </c>
      <c r="B78" s="1125">
        <v>2</v>
      </c>
      <c r="C78" s="1125">
        <v>4</v>
      </c>
      <c r="D78" s="1127" t="s">
        <v>2211</v>
      </c>
      <c r="E78" s="1126" t="s">
        <v>2253</v>
      </c>
      <c r="F78" s="1127" t="s">
        <v>2252</v>
      </c>
      <c r="G78" s="1126" t="s">
        <v>753</v>
      </c>
      <c r="H78" s="1125">
        <v>1</v>
      </c>
      <c r="I78" s="1175" t="s">
        <v>2193</v>
      </c>
      <c r="J78" s="1126">
        <v>1</v>
      </c>
      <c r="K78" s="1125">
        <v>24</v>
      </c>
      <c r="L78" s="1125">
        <v>1</v>
      </c>
      <c r="M78" s="1125">
        <v>1</v>
      </c>
      <c r="N78" s="1126" t="s">
        <v>1259</v>
      </c>
      <c r="O78" s="1125">
        <v>13</v>
      </c>
      <c r="P78" s="1164">
        <v>93042.92</v>
      </c>
      <c r="Q78" s="1164">
        <v>-10305.74</v>
      </c>
      <c r="R78" s="1164">
        <v>82737.179999999993</v>
      </c>
      <c r="S78" s="1164">
        <v>82737.179999999993</v>
      </c>
      <c r="T78" s="1164">
        <v>82737.179999999993</v>
      </c>
      <c r="U78" s="1164">
        <v>82737.179999999993</v>
      </c>
      <c r="V78" s="1164">
        <v>82737.179999999993</v>
      </c>
    </row>
    <row r="79" spans="1:22" s="1129" customFormat="1" x14ac:dyDescent="0.25">
      <c r="A79" s="1123">
        <v>4081800200</v>
      </c>
      <c r="B79" s="1125">
        <v>2</v>
      </c>
      <c r="C79" s="1125">
        <v>4</v>
      </c>
      <c r="D79" s="1127" t="s">
        <v>2211</v>
      </c>
      <c r="E79" s="1126" t="s">
        <v>2253</v>
      </c>
      <c r="F79" s="1127" t="s">
        <v>2252</v>
      </c>
      <c r="G79" s="1126" t="s">
        <v>753</v>
      </c>
      <c r="H79" s="1125">
        <v>1</v>
      </c>
      <c r="I79" s="1175" t="s">
        <v>1358</v>
      </c>
      <c r="J79" s="1126">
        <v>1</v>
      </c>
      <c r="K79" s="1125">
        <v>24</v>
      </c>
      <c r="L79" s="1125">
        <v>1</v>
      </c>
      <c r="M79" s="1125">
        <v>1</v>
      </c>
      <c r="N79" s="1126" t="s">
        <v>1259</v>
      </c>
      <c r="O79" s="1125">
        <v>13</v>
      </c>
      <c r="P79" s="1164">
        <v>188640</v>
      </c>
      <c r="Q79" s="1164">
        <v>-12445</v>
      </c>
      <c r="R79" s="1164">
        <v>176195</v>
      </c>
      <c r="S79" s="1164">
        <v>176195</v>
      </c>
      <c r="T79" s="1164">
        <v>176195</v>
      </c>
      <c r="U79" s="1164">
        <v>176195</v>
      </c>
      <c r="V79" s="1164">
        <v>176195</v>
      </c>
    </row>
    <row r="80" spans="1:22" s="1129" customFormat="1" x14ac:dyDescent="0.25">
      <c r="A80" s="1123">
        <v>4081800200</v>
      </c>
      <c r="B80" s="1125">
        <v>2</v>
      </c>
      <c r="C80" s="1125">
        <v>4</v>
      </c>
      <c r="D80" s="1127" t="s">
        <v>2211</v>
      </c>
      <c r="E80" s="1126" t="s">
        <v>2253</v>
      </c>
      <c r="F80" s="1127" t="s">
        <v>2252</v>
      </c>
      <c r="G80" s="1126" t="s">
        <v>753</v>
      </c>
      <c r="H80" s="1125">
        <v>1</v>
      </c>
      <c r="I80" s="1175" t="s">
        <v>1381</v>
      </c>
      <c r="J80" s="1126">
        <v>1</v>
      </c>
      <c r="K80" s="1125">
        <v>24</v>
      </c>
      <c r="L80" s="1125">
        <v>1</v>
      </c>
      <c r="M80" s="1125">
        <v>1</v>
      </c>
      <c r="N80" s="1126" t="s">
        <v>1259</v>
      </c>
      <c r="O80" s="1125">
        <v>13</v>
      </c>
      <c r="P80" s="1164">
        <v>17400</v>
      </c>
      <c r="Q80" s="1164">
        <v>-8400</v>
      </c>
      <c r="R80" s="1164">
        <v>9000</v>
      </c>
      <c r="S80" s="1164">
        <v>9000</v>
      </c>
      <c r="T80" s="1164">
        <v>9000</v>
      </c>
      <c r="U80" s="1164">
        <v>9000</v>
      </c>
      <c r="V80" s="1164">
        <v>9000</v>
      </c>
    </row>
    <row r="81" spans="1:22" s="1129" customFormat="1" x14ac:dyDescent="0.25">
      <c r="A81" s="1123">
        <v>4081800200</v>
      </c>
      <c r="B81" s="1125">
        <v>2</v>
      </c>
      <c r="C81" s="1125">
        <v>4</v>
      </c>
      <c r="D81" s="1127" t="s">
        <v>2211</v>
      </c>
      <c r="E81" s="1126" t="s">
        <v>2253</v>
      </c>
      <c r="F81" s="1127" t="s">
        <v>2252</v>
      </c>
      <c r="G81" s="1126" t="s">
        <v>753</v>
      </c>
      <c r="H81" s="1125">
        <v>1</v>
      </c>
      <c r="I81" s="1175" t="s">
        <v>1359</v>
      </c>
      <c r="J81" s="1126">
        <v>1</v>
      </c>
      <c r="K81" s="1125">
        <v>24</v>
      </c>
      <c r="L81" s="1125">
        <v>1</v>
      </c>
      <c r="M81" s="1125">
        <v>1</v>
      </c>
      <c r="N81" s="1126" t="s">
        <v>1259</v>
      </c>
      <c r="O81" s="1125">
        <v>13</v>
      </c>
      <c r="P81" s="1164">
        <v>110304</v>
      </c>
      <c r="Q81" s="1164">
        <v>-2857</v>
      </c>
      <c r="R81" s="1164">
        <v>107447</v>
      </c>
      <c r="S81" s="1164">
        <v>107447</v>
      </c>
      <c r="T81" s="1164">
        <v>107447</v>
      </c>
      <c r="U81" s="1164">
        <v>107447</v>
      </c>
      <c r="V81" s="1164">
        <v>107447</v>
      </c>
    </row>
    <row r="82" spans="1:22" s="1129" customFormat="1" x14ac:dyDescent="0.25">
      <c r="A82" s="1123">
        <v>4081800200</v>
      </c>
      <c r="B82" s="1125">
        <v>2</v>
      </c>
      <c r="C82" s="1125">
        <v>4</v>
      </c>
      <c r="D82" s="1127" t="s">
        <v>2211</v>
      </c>
      <c r="E82" s="1126" t="s">
        <v>2253</v>
      </c>
      <c r="F82" s="1127" t="s">
        <v>2252</v>
      </c>
      <c r="G82" s="1126" t="s">
        <v>753</v>
      </c>
      <c r="H82" s="1125">
        <v>1</v>
      </c>
      <c r="I82" s="1175" t="s">
        <v>1360</v>
      </c>
      <c r="J82" s="1126">
        <v>1</v>
      </c>
      <c r="K82" s="1125">
        <v>24</v>
      </c>
      <c r="L82" s="1125">
        <v>1</v>
      </c>
      <c r="M82" s="1125">
        <v>1</v>
      </c>
      <c r="N82" s="1126" t="s">
        <v>1259</v>
      </c>
      <c r="O82" s="1125">
        <v>13</v>
      </c>
      <c r="P82" s="1164">
        <v>121392</v>
      </c>
      <c r="Q82" s="1164">
        <v>-3198.5</v>
      </c>
      <c r="R82" s="1164">
        <v>118193.5</v>
      </c>
      <c r="S82" s="1164">
        <v>118193.5</v>
      </c>
      <c r="T82" s="1164">
        <v>118193.5</v>
      </c>
      <c r="U82" s="1164">
        <v>118193.5</v>
      </c>
      <c r="V82" s="1164">
        <v>118193.5</v>
      </c>
    </row>
    <row r="83" spans="1:22" s="1129" customFormat="1" x14ac:dyDescent="0.25">
      <c r="A83" s="1123">
        <v>4081800200</v>
      </c>
      <c r="B83" s="1125">
        <v>2</v>
      </c>
      <c r="C83" s="1125">
        <v>4</v>
      </c>
      <c r="D83" s="1127" t="s">
        <v>2211</v>
      </c>
      <c r="E83" s="1126" t="s">
        <v>2253</v>
      </c>
      <c r="F83" s="1127" t="s">
        <v>2252</v>
      </c>
      <c r="G83" s="1126" t="s">
        <v>753</v>
      </c>
      <c r="H83" s="1125">
        <v>1</v>
      </c>
      <c r="I83" s="1175" t="s">
        <v>1361</v>
      </c>
      <c r="J83" s="1126">
        <v>1</v>
      </c>
      <c r="K83" s="1125">
        <v>24</v>
      </c>
      <c r="L83" s="1125">
        <v>1</v>
      </c>
      <c r="M83" s="1125">
        <v>1</v>
      </c>
      <c r="N83" s="1126" t="s">
        <v>1259</v>
      </c>
      <c r="O83" s="1125">
        <v>13</v>
      </c>
      <c r="P83" s="1164">
        <v>21360</v>
      </c>
      <c r="Q83" s="1164">
        <v>360</v>
      </c>
      <c r="R83" s="1164">
        <v>21720</v>
      </c>
      <c r="S83" s="1164">
        <v>21720</v>
      </c>
      <c r="T83" s="1164">
        <v>21720</v>
      </c>
      <c r="U83" s="1164">
        <v>21720</v>
      </c>
      <c r="V83" s="1164">
        <v>21720</v>
      </c>
    </row>
    <row r="84" spans="1:22" s="1129" customFormat="1" x14ac:dyDescent="0.25">
      <c r="A84" s="1123">
        <v>4081800200</v>
      </c>
      <c r="B84" s="1125">
        <v>2</v>
      </c>
      <c r="C84" s="1125">
        <v>4</v>
      </c>
      <c r="D84" s="1127" t="s">
        <v>2211</v>
      </c>
      <c r="E84" s="1126" t="s">
        <v>2253</v>
      </c>
      <c r="F84" s="1127" t="s">
        <v>2252</v>
      </c>
      <c r="G84" s="1126" t="s">
        <v>753</v>
      </c>
      <c r="H84" s="1125">
        <v>1</v>
      </c>
      <c r="I84" s="1175" t="s">
        <v>2194</v>
      </c>
      <c r="J84" s="1126">
        <v>1</v>
      </c>
      <c r="K84" s="1125">
        <v>24</v>
      </c>
      <c r="L84" s="1125">
        <v>1</v>
      </c>
      <c r="M84" s="1125">
        <v>1</v>
      </c>
      <c r="N84" s="1126" t="s">
        <v>1259</v>
      </c>
      <c r="O84" s="1125">
        <v>13</v>
      </c>
      <c r="P84" s="1164">
        <v>15360</v>
      </c>
      <c r="Q84" s="1164">
        <v>-10860</v>
      </c>
      <c r="R84" s="1164">
        <v>4500</v>
      </c>
      <c r="S84" s="1164">
        <v>4500</v>
      </c>
      <c r="T84" s="1164">
        <v>4500</v>
      </c>
      <c r="U84" s="1164">
        <v>4500</v>
      </c>
      <c r="V84" s="1164">
        <v>4500</v>
      </c>
    </row>
    <row r="85" spans="1:22" s="1129" customFormat="1" x14ac:dyDescent="0.25">
      <c r="A85" s="1123">
        <v>4081800200</v>
      </c>
      <c r="B85" s="1125">
        <v>2</v>
      </c>
      <c r="C85" s="1125">
        <v>4</v>
      </c>
      <c r="D85" s="1127" t="s">
        <v>2211</v>
      </c>
      <c r="E85" s="1126" t="s">
        <v>2253</v>
      </c>
      <c r="F85" s="1127" t="s">
        <v>2252</v>
      </c>
      <c r="G85" s="1126" t="s">
        <v>753</v>
      </c>
      <c r="H85" s="1125">
        <v>1</v>
      </c>
      <c r="I85" s="1175" t="s">
        <v>2121</v>
      </c>
      <c r="J85" s="1126">
        <v>1</v>
      </c>
      <c r="K85" s="1125">
        <v>24</v>
      </c>
      <c r="L85" s="1125">
        <v>1</v>
      </c>
      <c r="M85" s="1125">
        <v>1</v>
      </c>
      <c r="N85" s="1126" t="s">
        <v>1259</v>
      </c>
      <c r="O85" s="1125">
        <v>13</v>
      </c>
      <c r="P85" s="1164">
        <v>8760</v>
      </c>
      <c r="Q85" s="1164">
        <v>2240</v>
      </c>
      <c r="R85" s="1164">
        <v>11000</v>
      </c>
      <c r="S85" s="1164">
        <v>11000</v>
      </c>
      <c r="T85" s="1164">
        <v>11000</v>
      </c>
      <c r="U85" s="1164">
        <v>11000</v>
      </c>
      <c r="V85" s="1164">
        <v>11000</v>
      </c>
    </row>
    <row r="86" spans="1:22" s="1129" customFormat="1" x14ac:dyDescent="0.25">
      <c r="A86" s="1123">
        <v>4081800200</v>
      </c>
      <c r="B86" s="1125">
        <v>2</v>
      </c>
      <c r="C86" s="1125">
        <v>4</v>
      </c>
      <c r="D86" s="1127" t="s">
        <v>2211</v>
      </c>
      <c r="E86" s="1126" t="s">
        <v>2253</v>
      </c>
      <c r="F86" s="1127" t="s">
        <v>2252</v>
      </c>
      <c r="G86" s="1126" t="s">
        <v>753</v>
      </c>
      <c r="H86" s="1125">
        <v>1</v>
      </c>
      <c r="I86" s="1175" t="s">
        <v>1362</v>
      </c>
      <c r="J86" s="1126">
        <v>1</v>
      </c>
      <c r="K86" s="1125">
        <v>24</v>
      </c>
      <c r="L86" s="1125">
        <v>1</v>
      </c>
      <c r="M86" s="1125">
        <v>1</v>
      </c>
      <c r="N86" s="1126" t="s">
        <v>1259</v>
      </c>
      <c r="O86" s="1125">
        <v>13</v>
      </c>
      <c r="P86" s="1164">
        <v>12000</v>
      </c>
      <c r="Q86" s="1164">
        <v>-6000</v>
      </c>
      <c r="R86" s="1164">
        <v>6000</v>
      </c>
      <c r="S86" s="1164">
        <v>6000</v>
      </c>
      <c r="T86" s="1164">
        <v>6000</v>
      </c>
      <c r="U86" s="1164">
        <v>6000</v>
      </c>
      <c r="V86" s="1164">
        <v>6000</v>
      </c>
    </row>
    <row r="87" spans="1:22" s="1129" customFormat="1" x14ac:dyDescent="0.25">
      <c r="A87" s="1123">
        <v>4081800200</v>
      </c>
      <c r="B87" s="1125">
        <v>2</v>
      </c>
      <c r="C87" s="1125">
        <v>4</v>
      </c>
      <c r="D87" s="1127" t="s">
        <v>2211</v>
      </c>
      <c r="E87" s="1126" t="s">
        <v>2253</v>
      </c>
      <c r="F87" s="1127" t="s">
        <v>2252</v>
      </c>
      <c r="G87" s="1126" t="s">
        <v>753</v>
      </c>
      <c r="H87" s="1125">
        <v>1</v>
      </c>
      <c r="I87" s="1175" t="s">
        <v>1363</v>
      </c>
      <c r="J87" s="1126">
        <v>1</v>
      </c>
      <c r="K87" s="1125">
        <v>24</v>
      </c>
      <c r="L87" s="1125">
        <v>1</v>
      </c>
      <c r="M87" s="1125">
        <v>1</v>
      </c>
      <c r="N87" s="1126" t="s">
        <v>1259</v>
      </c>
      <c r="O87" s="1125">
        <v>13</v>
      </c>
      <c r="P87" s="1164">
        <v>68688</v>
      </c>
      <c r="Q87" s="1164">
        <v>408.5</v>
      </c>
      <c r="R87" s="1164">
        <v>69096.5</v>
      </c>
      <c r="S87" s="1164">
        <v>69096.5</v>
      </c>
      <c r="T87" s="1164">
        <v>69096.5</v>
      </c>
      <c r="U87" s="1164">
        <v>69096.5</v>
      </c>
      <c r="V87" s="1164">
        <v>69096.5</v>
      </c>
    </row>
    <row r="88" spans="1:22" s="1129" customFormat="1" x14ac:dyDescent="0.25">
      <c r="A88" s="1123">
        <v>4081800200</v>
      </c>
      <c r="B88" s="1125">
        <v>2</v>
      </c>
      <c r="C88" s="1125">
        <v>4</v>
      </c>
      <c r="D88" s="1127" t="s">
        <v>2211</v>
      </c>
      <c r="E88" s="1126" t="s">
        <v>2253</v>
      </c>
      <c r="F88" s="1127" t="s">
        <v>2252</v>
      </c>
      <c r="G88" s="1126" t="s">
        <v>753</v>
      </c>
      <c r="H88" s="1125">
        <v>1</v>
      </c>
      <c r="I88" s="1175" t="s">
        <v>1364</v>
      </c>
      <c r="J88" s="1126">
        <v>1</v>
      </c>
      <c r="K88" s="1125">
        <v>24</v>
      </c>
      <c r="L88" s="1125">
        <v>1</v>
      </c>
      <c r="M88" s="1125">
        <v>1</v>
      </c>
      <c r="N88" s="1126" t="s">
        <v>1259</v>
      </c>
      <c r="O88" s="1125">
        <v>13</v>
      </c>
      <c r="P88" s="1164">
        <v>6780</v>
      </c>
      <c r="Q88" s="1164">
        <v>13560</v>
      </c>
      <c r="R88" s="1164">
        <v>20340</v>
      </c>
      <c r="S88" s="1164">
        <v>20340</v>
      </c>
      <c r="T88" s="1164">
        <v>20340</v>
      </c>
      <c r="U88" s="1164">
        <v>20340</v>
      </c>
      <c r="V88" s="1164">
        <v>20340</v>
      </c>
    </row>
    <row r="89" spans="1:22" s="1129" customFormat="1" x14ac:dyDescent="0.25">
      <c r="A89" s="1123">
        <v>4081800200</v>
      </c>
      <c r="B89" s="1125">
        <v>2</v>
      </c>
      <c r="C89" s="1125">
        <v>4</v>
      </c>
      <c r="D89" s="1127" t="s">
        <v>2211</v>
      </c>
      <c r="E89" s="1126" t="s">
        <v>2253</v>
      </c>
      <c r="F89" s="1127" t="s">
        <v>2252</v>
      </c>
      <c r="G89" s="1126" t="s">
        <v>753</v>
      </c>
      <c r="H89" s="1125">
        <v>1</v>
      </c>
      <c r="I89" s="1175" t="s">
        <v>2195</v>
      </c>
      <c r="J89" s="1126">
        <v>1</v>
      </c>
      <c r="K89" s="1125">
        <v>24</v>
      </c>
      <c r="L89" s="1125">
        <v>1</v>
      </c>
      <c r="M89" s="1125">
        <v>1</v>
      </c>
      <c r="N89" s="1126" t="s">
        <v>1259</v>
      </c>
      <c r="O89" s="1125">
        <v>13</v>
      </c>
      <c r="P89" s="1164">
        <v>24000</v>
      </c>
      <c r="Q89" s="1164">
        <v>-4200</v>
      </c>
      <c r="R89" s="1164">
        <v>19800</v>
      </c>
      <c r="S89" s="1164">
        <v>19800</v>
      </c>
      <c r="T89" s="1164">
        <v>19800</v>
      </c>
      <c r="U89" s="1164">
        <v>19800</v>
      </c>
      <c r="V89" s="1164">
        <v>19800</v>
      </c>
    </row>
    <row r="90" spans="1:22" s="1129" customFormat="1" x14ac:dyDescent="0.25">
      <c r="A90" s="1123">
        <v>4081800200</v>
      </c>
      <c r="B90" s="1125">
        <v>2</v>
      </c>
      <c r="C90" s="1125">
        <v>4</v>
      </c>
      <c r="D90" s="1127" t="s">
        <v>2211</v>
      </c>
      <c r="E90" s="1126" t="s">
        <v>2253</v>
      </c>
      <c r="F90" s="1127" t="s">
        <v>2252</v>
      </c>
      <c r="G90" s="1126" t="s">
        <v>753</v>
      </c>
      <c r="H90" s="1125">
        <v>1</v>
      </c>
      <c r="I90" s="1175" t="s">
        <v>1281</v>
      </c>
      <c r="J90" s="1126">
        <v>1</v>
      </c>
      <c r="K90" s="1125">
        <v>24</v>
      </c>
      <c r="L90" s="1125">
        <v>1</v>
      </c>
      <c r="M90" s="1125">
        <v>1</v>
      </c>
      <c r="N90" s="1126" t="s">
        <v>1259</v>
      </c>
      <c r="O90" s="1125">
        <v>13</v>
      </c>
      <c r="P90" s="1164">
        <v>310445.90999999997</v>
      </c>
      <c r="Q90" s="1164">
        <v>32864.959999999999</v>
      </c>
      <c r="R90" s="1164">
        <v>343310.87</v>
      </c>
      <c r="S90" s="1164">
        <v>343310.87</v>
      </c>
      <c r="T90" s="1164">
        <v>343310.87</v>
      </c>
      <c r="U90" s="1164">
        <v>343310.87</v>
      </c>
      <c r="V90" s="1164">
        <v>343310.87</v>
      </c>
    </row>
    <row r="91" spans="1:22" s="1129" customFormat="1" x14ac:dyDescent="0.25">
      <c r="A91" s="1123">
        <v>4081800200</v>
      </c>
      <c r="B91" s="1125">
        <v>2</v>
      </c>
      <c r="C91" s="1125">
        <v>4</v>
      </c>
      <c r="D91" s="1127" t="s">
        <v>2211</v>
      </c>
      <c r="E91" s="1126" t="s">
        <v>2253</v>
      </c>
      <c r="F91" s="1127" t="s">
        <v>2252</v>
      </c>
      <c r="G91" s="1126" t="s">
        <v>753</v>
      </c>
      <c r="H91" s="1125">
        <v>1</v>
      </c>
      <c r="I91" s="1175" t="s">
        <v>1282</v>
      </c>
      <c r="J91" s="1126">
        <v>1</v>
      </c>
      <c r="K91" s="1125">
        <v>24</v>
      </c>
      <c r="L91" s="1125">
        <v>1</v>
      </c>
      <c r="M91" s="1125">
        <v>1</v>
      </c>
      <c r="N91" s="1126" t="s">
        <v>1259</v>
      </c>
      <c r="O91" s="1125">
        <v>13</v>
      </c>
      <c r="P91" s="1164">
        <v>450546.09</v>
      </c>
      <c r="Q91" s="1164">
        <v>-450546.09</v>
      </c>
      <c r="R91" s="1164">
        <v>0</v>
      </c>
      <c r="S91" s="1164">
        <v>0</v>
      </c>
      <c r="T91" s="1164">
        <v>0</v>
      </c>
      <c r="U91" s="1164">
        <v>0</v>
      </c>
      <c r="V91" s="1164">
        <v>0</v>
      </c>
    </row>
    <row r="92" spans="1:22" s="1129" customFormat="1" x14ac:dyDescent="0.25">
      <c r="A92" s="1123">
        <v>4081800200</v>
      </c>
      <c r="B92" s="1125">
        <v>2</v>
      </c>
      <c r="C92" s="1125">
        <v>4</v>
      </c>
      <c r="D92" s="1127" t="s">
        <v>2211</v>
      </c>
      <c r="E92" s="1126" t="s">
        <v>2253</v>
      </c>
      <c r="F92" s="1127" t="s">
        <v>2252</v>
      </c>
      <c r="G92" s="1126" t="s">
        <v>753</v>
      </c>
      <c r="H92" s="1125">
        <v>1</v>
      </c>
      <c r="I92" s="1175" t="s">
        <v>1283</v>
      </c>
      <c r="J92" s="1126">
        <v>1</v>
      </c>
      <c r="K92" s="1125">
        <v>24</v>
      </c>
      <c r="L92" s="1125">
        <v>1</v>
      </c>
      <c r="M92" s="1125">
        <v>1</v>
      </c>
      <c r="N92" s="1126" t="s">
        <v>1259</v>
      </c>
      <c r="O92" s="1125">
        <v>13</v>
      </c>
      <c r="P92" s="1164">
        <v>144000</v>
      </c>
      <c r="Q92" s="1164">
        <v>18750</v>
      </c>
      <c r="R92" s="1164">
        <v>162750</v>
      </c>
      <c r="S92" s="1164">
        <v>162750</v>
      </c>
      <c r="T92" s="1164">
        <v>162750</v>
      </c>
      <c r="U92" s="1164">
        <v>162750</v>
      </c>
      <c r="V92" s="1164">
        <v>162750</v>
      </c>
    </row>
    <row r="93" spans="1:22" s="1129" customFormat="1" x14ac:dyDescent="0.25">
      <c r="A93" s="1123">
        <v>4081800200</v>
      </c>
      <c r="B93" s="1125">
        <v>2</v>
      </c>
      <c r="C93" s="1125">
        <v>4</v>
      </c>
      <c r="D93" s="1127" t="s">
        <v>2211</v>
      </c>
      <c r="E93" s="1126" t="s">
        <v>2253</v>
      </c>
      <c r="F93" s="1127" t="s">
        <v>2252</v>
      </c>
      <c r="G93" s="1126" t="s">
        <v>753</v>
      </c>
      <c r="H93" s="1125">
        <v>1</v>
      </c>
      <c r="I93" s="1175" t="s">
        <v>1382</v>
      </c>
      <c r="J93" s="1126">
        <v>1</v>
      </c>
      <c r="K93" s="1125">
        <v>24</v>
      </c>
      <c r="L93" s="1125">
        <v>1</v>
      </c>
      <c r="M93" s="1125">
        <v>1</v>
      </c>
      <c r="N93" s="1126" t="s">
        <v>1259</v>
      </c>
      <c r="O93" s="1125">
        <v>13</v>
      </c>
      <c r="P93" s="1164">
        <v>42240</v>
      </c>
      <c r="Q93" s="1164">
        <v>-8800</v>
      </c>
      <c r="R93" s="1164">
        <v>33440</v>
      </c>
      <c r="S93" s="1164">
        <v>33440</v>
      </c>
      <c r="T93" s="1164">
        <v>33440</v>
      </c>
      <c r="U93" s="1164">
        <v>33440</v>
      </c>
      <c r="V93" s="1164">
        <v>33440</v>
      </c>
    </row>
    <row r="94" spans="1:22" s="1129" customFormat="1" x14ac:dyDescent="0.25">
      <c r="A94" s="1123">
        <v>4081800200</v>
      </c>
      <c r="B94" s="1125">
        <v>2</v>
      </c>
      <c r="C94" s="1125">
        <v>4</v>
      </c>
      <c r="D94" s="1127" t="s">
        <v>2211</v>
      </c>
      <c r="E94" s="1126" t="s">
        <v>2253</v>
      </c>
      <c r="F94" s="1127" t="s">
        <v>2252</v>
      </c>
      <c r="G94" s="1126" t="s">
        <v>753</v>
      </c>
      <c r="H94" s="1125">
        <v>1</v>
      </c>
      <c r="I94" s="1175" t="s">
        <v>1365</v>
      </c>
      <c r="J94" s="1126">
        <v>1</v>
      </c>
      <c r="K94" s="1125">
        <v>24</v>
      </c>
      <c r="L94" s="1125">
        <v>1</v>
      </c>
      <c r="M94" s="1125">
        <v>1</v>
      </c>
      <c r="N94" s="1126" t="s">
        <v>1259</v>
      </c>
      <c r="O94" s="1125">
        <v>13</v>
      </c>
      <c r="P94" s="1164">
        <v>94367.76</v>
      </c>
      <c r="Q94" s="1164">
        <v>15923.65</v>
      </c>
      <c r="R94" s="1164">
        <v>110291.41</v>
      </c>
      <c r="S94" s="1164">
        <v>110291.41</v>
      </c>
      <c r="T94" s="1164">
        <v>110291.41</v>
      </c>
      <c r="U94" s="1164">
        <v>110291.41</v>
      </c>
      <c r="V94" s="1164">
        <v>110291.41</v>
      </c>
    </row>
    <row r="95" spans="1:22" s="1129" customFormat="1" x14ac:dyDescent="0.25">
      <c r="A95" s="1123">
        <v>4081800200</v>
      </c>
      <c r="B95" s="1125">
        <v>2</v>
      </c>
      <c r="C95" s="1125">
        <v>4</v>
      </c>
      <c r="D95" s="1127" t="s">
        <v>2211</v>
      </c>
      <c r="E95" s="1126" t="s">
        <v>2253</v>
      </c>
      <c r="F95" s="1127" t="s">
        <v>2252</v>
      </c>
      <c r="G95" s="1126" t="s">
        <v>753</v>
      </c>
      <c r="H95" s="1125">
        <v>1</v>
      </c>
      <c r="I95" s="1175" t="s">
        <v>1284</v>
      </c>
      <c r="J95" s="1126">
        <v>1</v>
      </c>
      <c r="K95" s="1125">
        <v>24</v>
      </c>
      <c r="L95" s="1125">
        <v>1</v>
      </c>
      <c r="M95" s="1125">
        <v>1</v>
      </c>
      <c r="N95" s="1126" t="s">
        <v>1259</v>
      </c>
      <c r="O95" s="1125">
        <v>13</v>
      </c>
      <c r="P95" s="1164">
        <v>16000</v>
      </c>
      <c r="Q95" s="1164">
        <v>-2577.5500000000002</v>
      </c>
      <c r="R95" s="1164">
        <v>13422.45</v>
      </c>
      <c r="S95" s="1164">
        <v>13422.45</v>
      </c>
      <c r="T95" s="1164">
        <v>13422.45</v>
      </c>
      <c r="U95" s="1164">
        <v>13422.45</v>
      </c>
      <c r="V95" s="1164">
        <v>13422.45</v>
      </c>
    </row>
    <row r="96" spans="1:22" s="1129" customFormat="1" x14ac:dyDescent="0.25">
      <c r="A96" s="1123">
        <v>4081800200</v>
      </c>
      <c r="B96" s="1125">
        <v>2</v>
      </c>
      <c r="C96" s="1125">
        <v>4</v>
      </c>
      <c r="D96" s="1127" t="s">
        <v>2211</v>
      </c>
      <c r="E96" s="1126" t="s">
        <v>2253</v>
      </c>
      <c r="F96" s="1127" t="s">
        <v>2252</v>
      </c>
      <c r="G96" s="1126" t="s">
        <v>753</v>
      </c>
      <c r="H96" s="1125">
        <v>1</v>
      </c>
      <c r="I96" s="1175" t="s">
        <v>1285</v>
      </c>
      <c r="J96" s="1126">
        <v>1</v>
      </c>
      <c r="K96" s="1125">
        <v>24</v>
      </c>
      <c r="L96" s="1125">
        <v>1</v>
      </c>
      <c r="M96" s="1125">
        <v>1</v>
      </c>
      <c r="N96" s="1126" t="s">
        <v>1259</v>
      </c>
      <c r="O96" s="1125">
        <v>13</v>
      </c>
      <c r="P96" s="1164">
        <v>18000</v>
      </c>
      <c r="Q96" s="1164">
        <v>24334.01</v>
      </c>
      <c r="R96" s="1164">
        <v>42334.01</v>
      </c>
      <c r="S96" s="1164">
        <v>42334.01</v>
      </c>
      <c r="T96" s="1164">
        <v>42334.01</v>
      </c>
      <c r="U96" s="1164">
        <v>42334.01</v>
      </c>
      <c r="V96" s="1164">
        <v>42334.01</v>
      </c>
    </row>
    <row r="97" spans="1:22" s="1129" customFormat="1" x14ac:dyDescent="0.25">
      <c r="A97" s="1123">
        <v>4081800200</v>
      </c>
      <c r="B97" s="1125">
        <v>2</v>
      </c>
      <c r="C97" s="1125">
        <v>4</v>
      </c>
      <c r="D97" s="1127" t="s">
        <v>2211</v>
      </c>
      <c r="E97" s="1126" t="s">
        <v>2253</v>
      </c>
      <c r="F97" s="1127" t="s">
        <v>2252</v>
      </c>
      <c r="G97" s="1126" t="s">
        <v>753</v>
      </c>
      <c r="H97" s="1125">
        <v>1</v>
      </c>
      <c r="I97" s="1175" t="s">
        <v>1290</v>
      </c>
      <c r="J97" s="1126">
        <v>1</v>
      </c>
      <c r="K97" s="1125">
        <v>24</v>
      </c>
      <c r="L97" s="1125">
        <v>1</v>
      </c>
      <c r="M97" s="1125">
        <v>1</v>
      </c>
      <c r="N97" s="1126" t="s">
        <v>1259</v>
      </c>
      <c r="O97" s="1125">
        <v>13</v>
      </c>
      <c r="P97" s="1164">
        <v>0</v>
      </c>
      <c r="Q97" s="1164">
        <v>7094.4</v>
      </c>
      <c r="R97" s="1164">
        <v>7094.4</v>
      </c>
      <c r="S97" s="1164">
        <v>7094.4</v>
      </c>
      <c r="T97" s="1164">
        <v>7094.4</v>
      </c>
      <c r="U97" s="1164">
        <v>7094.4</v>
      </c>
      <c r="V97" s="1164">
        <v>7094.4</v>
      </c>
    </row>
    <row r="98" spans="1:22" s="1129" customFormat="1" x14ac:dyDescent="0.25">
      <c r="A98" s="1123">
        <v>4081800200</v>
      </c>
      <c r="B98" s="1125">
        <v>2</v>
      </c>
      <c r="C98" s="1125">
        <v>4</v>
      </c>
      <c r="D98" s="1127" t="s">
        <v>2211</v>
      </c>
      <c r="E98" s="1126" t="s">
        <v>2253</v>
      </c>
      <c r="F98" s="1127" t="s">
        <v>2252</v>
      </c>
      <c r="G98" s="1126" t="s">
        <v>753</v>
      </c>
      <c r="H98" s="1125">
        <v>1</v>
      </c>
      <c r="I98" s="1175" t="s">
        <v>1291</v>
      </c>
      <c r="J98" s="1126">
        <v>1</v>
      </c>
      <c r="K98" s="1125">
        <v>24</v>
      </c>
      <c r="L98" s="1125">
        <v>1</v>
      </c>
      <c r="M98" s="1125">
        <v>1</v>
      </c>
      <c r="N98" s="1126" t="s">
        <v>1259</v>
      </c>
      <c r="O98" s="1125">
        <v>13</v>
      </c>
      <c r="P98" s="1164">
        <v>26000</v>
      </c>
      <c r="Q98" s="1164">
        <v>6821.64</v>
      </c>
      <c r="R98" s="1164">
        <v>32821.64</v>
      </c>
      <c r="S98" s="1164">
        <v>38495.919999999998</v>
      </c>
      <c r="T98" s="1164">
        <v>38495.919999999998</v>
      </c>
      <c r="U98" s="1164">
        <v>38495.919999999998</v>
      </c>
      <c r="V98" s="1164">
        <v>32821.64</v>
      </c>
    </row>
    <row r="99" spans="1:22" s="1129" customFormat="1" x14ac:dyDescent="0.25">
      <c r="A99" s="1123">
        <v>4081800200</v>
      </c>
      <c r="B99" s="1125">
        <v>2</v>
      </c>
      <c r="C99" s="1125">
        <v>4</v>
      </c>
      <c r="D99" s="1127" t="s">
        <v>2211</v>
      </c>
      <c r="E99" s="1126" t="s">
        <v>2253</v>
      </c>
      <c r="F99" s="1127" t="s">
        <v>2252</v>
      </c>
      <c r="G99" s="1126" t="s">
        <v>753</v>
      </c>
      <c r="H99" s="1125">
        <v>1</v>
      </c>
      <c r="I99" s="1175" t="s">
        <v>1296</v>
      </c>
      <c r="J99" s="1126">
        <v>1</v>
      </c>
      <c r="K99" s="1125">
        <v>24</v>
      </c>
      <c r="L99" s="1125">
        <v>1</v>
      </c>
      <c r="M99" s="1125">
        <v>1</v>
      </c>
      <c r="N99" s="1126" t="s">
        <v>1259</v>
      </c>
      <c r="O99" s="1125">
        <v>13</v>
      </c>
      <c r="P99" s="1164">
        <v>120000</v>
      </c>
      <c r="Q99" s="1164">
        <v>-67562</v>
      </c>
      <c r="R99" s="1164">
        <v>52438</v>
      </c>
      <c r="S99" s="1164">
        <v>52438</v>
      </c>
      <c r="T99" s="1164">
        <v>52438</v>
      </c>
      <c r="U99" s="1164">
        <v>52438</v>
      </c>
      <c r="V99" s="1164">
        <v>52438</v>
      </c>
    </row>
    <row r="100" spans="1:22" s="1129" customFormat="1" x14ac:dyDescent="0.25">
      <c r="A100" s="1123">
        <v>4081800200</v>
      </c>
      <c r="B100" s="1125">
        <v>2</v>
      </c>
      <c r="C100" s="1125">
        <v>4</v>
      </c>
      <c r="D100" s="1127" t="s">
        <v>2211</v>
      </c>
      <c r="E100" s="1126" t="s">
        <v>2253</v>
      </c>
      <c r="F100" s="1127" t="s">
        <v>2252</v>
      </c>
      <c r="G100" s="1126" t="s">
        <v>753</v>
      </c>
      <c r="H100" s="1125">
        <v>1</v>
      </c>
      <c r="I100" s="1175" t="s">
        <v>1297</v>
      </c>
      <c r="J100" s="1126">
        <v>1</v>
      </c>
      <c r="K100" s="1125">
        <v>24</v>
      </c>
      <c r="L100" s="1125">
        <v>1</v>
      </c>
      <c r="M100" s="1125">
        <v>1</v>
      </c>
      <c r="N100" s="1126" t="s">
        <v>1259</v>
      </c>
      <c r="O100" s="1125">
        <v>13</v>
      </c>
      <c r="P100" s="1164">
        <v>55000</v>
      </c>
      <c r="Q100" s="1164">
        <v>-15308</v>
      </c>
      <c r="R100" s="1164">
        <v>39692</v>
      </c>
      <c r="S100" s="1164">
        <v>40591.870000000003</v>
      </c>
      <c r="T100" s="1164">
        <v>40591.870000000003</v>
      </c>
      <c r="U100" s="1164">
        <v>40591.870000000003</v>
      </c>
      <c r="V100" s="1164">
        <v>40591.870000000003</v>
      </c>
    </row>
    <row r="101" spans="1:22" s="1129" customFormat="1" x14ac:dyDescent="0.25">
      <c r="A101" s="1123">
        <v>4081800200</v>
      </c>
      <c r="B101" s="1125">
        <v>2</v>
      </c>
      <c r="C101" s="1125">
        <v>4</v>
      </c>
      <c r="D101" s="1127" t="s">
        <v>2211</v>
      </c>
      <c r="E101" s="1126" t="s">
        <v>2253</v>
      </c>
      <c r="F101" s="1127" t="s">
        <v>2252</v>
      </c>
      <c r="G101" s="1126" t="s">
        <v>753</v>
      </c>
      <c r="H101" s="1125">
        <v>1</v>
      </c>
      <c r="I101" s="1175" t="s">
        <v>1302</v>
      </c>
      <c r="J101" s="1126">
        <v>1</v>
      </c>
      <c r="K101" s="1125">
        <v>24</v>
      </c>
      <c r="L101" s="1125">
        <v>1</v>
      </c>
      <c r="M101" s="1125">
        <v>1</v>
      </c>
      <c r="N101" s="1126" t="s">
        <v>1259</v>
      </c>
      <c r="O101" s="1125">
        <v>13</v>
      </c>
      <c r="P101" s="1164">
        <v>300000</v>
      </c>
      <c r="Q101" s="1164">
        <v>-49256.160000000003</v>
      </c>
      <c r="R101" s="1164">
        <v>250743.84</v>
      </c>
      <c r="S101" s="1164">
        <v>250743.84</v>
      </c>
      <c r="T101" s="1164">
        <v>250743.84</v>
      </c>
      <c r="U101" s="1164">
        <v>250743.84</v>
      </c>
      <c r="V101" s="1164">
        <v>250743.84</v>
      </c>
    </row>
    <row r="102" spans="1:22" s="1129" customFormat="1" x14ac:dyDescent="0.25">
      <c r="A102" s="1123">
        <v>4081800200</v>
      </c>
      <c r="B102" s="1125">
        <v>2</v>
      </c>
      <c r="C102" s="1125">
        <v>4</v>
      </c>
      <c r="D102" s="1127" t="s">
        <v>2211</v>
      </c>
      <c r="E102" s="1126" t="s">
        <v>2253</v>
      </c>
      <c r="F102" s="1127" t="s">
        <v>2252</v>
      </c>
      <c r="G102" s="1126" t="s">
        <v>753</v>
      </c>
      <c r="H102" s="1125">
        <v>1</v>
      </c>
      <c r="I102" s="1175" t="s">
        <v>1307</v>
      </c>
      <c r="J102" s="1126">
        <v>1</v>
      </c>
      <c r="K102" s="1125">
        <v>24</v>
      </c>
      <c r="L102" s="1125">
        <v>1</v>
      </c>
      <c r="M102" s="1125">
        <v>1</v>
      </c>
      <c r="N102" s="1126" t="s">
        <v>1259</v>
      </c>
      <c r="O102" s="1125">
        <v>13</v>
      </c>
      <c r="P102" s="1164">
        <v>0</v>
      </c>
      <c r="Q102" s="1164">
        <v>12630</v>
      </c>
      <c r="R102" s="1164">
        <v>12630</v>
      </c>
      <c r="S102" s="1164">
        <v>12630</v>
      </c>
      <c r="T102" s="1164">
        <v>12630</v>
      </c>
      <c r="U102" s="1164">
        <v>12630</v>
      </c>
      <c r="V102" s="1164">
        <v>12630</v>
      </c>
    </row>
    <row r="103" spans="1:22" s="1129" customFormat="1" x14ac:dyDescent="0.25">
      <c r="A103" s="1123">
        <v>4081800200</v>
      </c>
      <c r="B103" s="1125">
        <v>2</v>
      </c>
      <c r="C103" s="1125">
        <v>4</v>
      </c>
      <c r="D103" s="1127" t="s">
        <v>2211</v>
      </c>
      <c r="E103" s="1126" t="s">
        <v>2253</v>
      </c>
      <c r="F103" s="1127" t="s">
        <v>2252</v>
      </c>
      <c r="G103" s="1126" t="s">
        <v>753</v>
      </c>
      <c r="H103" s="1125">
        <v>1</v>
      </c>
      <c r="I103" s="1175" t="s">
        <v>1310</v>
      </c>
      <c r="J103" s="1126">
        <v>1</v>
      </c>
      <c r="K103" s="1125">
        <v>24</v>
      </c>
      <c r="L103" s="1125">
        <v>1</v>
      </c>
      <c r="M103" s="1125">
        <v>1</v>
      </c>
      <c r="N103" s="1126" t="s">
        <v>1259</v>
      </c>
      <c r="O103" s="1125">
        <v>13</v>
      </c>
      <c r="P103" s="1164">
        <v>24000</v>
      </c>
      <c r="Q103" s="1164">
        <v>43666</v>
      </c>
      <c r="R103" s="1164">
        <v>67666</v>
      </c>
      <c r="S103" s="1164">
        <v>67666</v>
      </c>
      <c r="T103" s="1164">
        <v>67666</v>
      </c>
      <c r="U103" s="1164">
        <v>67666</v>
      </c>
      <c r="V103" s="1164">
        <v>67666</v>
      </c>
    </row>
    <row r="104" spans="1:22" s="1129" customFormat="1" x14ac:dyDescent="0.25">
      <c r="A104" s="1123">
        <v>4081800200</v>
      </c>
      <c r="B104" s="1125">
        <v>2</v>
      </c>
      <c r="C104" s="1125">
        <v>4</v>
      </c>
      <c r="D104" s="1127" t="s">
        <v>2211</v>
      </c>
      <c r="E104" s="1126" t="s">
        <v>2253</v>
      </c>
      <c r="F104" s="1127" t="s">
        <v>2252</v>
      </c>
      <c r="G104" s="1126" t="s">
        <v>753</v>
      </c>
      <c r="H104" s="1125">
        <v>1</v>
      </c>
      <c r="I104" s="1175" t="s">
        <v>1311</v>
      </c>
      <c r="J104" s="1126">
        <v>1</v>
      </c>
      <c r="K104" s="1125">
        <v>24</v>
      </c>
      <c r="L104" s="1125">
        <v>1</v>
      </c>
      <c r="M104" s="1125">
        <v>1</v>
      </c>
      <c r="N104" s="1126" t="s">
        <v>1259</v>
      </c>
      <c r="O104" s="1125">
        <v>13</v>
      </c>
      <c r="P104" s="1164">
        <v>10400</v>
      </c>
      <c r="Q104" s="1164">
        <v>-7500</v>
      </c>
      <c r="R104" s="1164">
        <v>2900</v>
      </c>
      <c r="S104" s="1164">
        <v>2900</v>
      </c>
      <c r="T104" s="1164">
        <v>2900</v>
      </c>
      <c r="U104" s="1164">
        <v>2900</v>
      </c>
      <c r="V104" s="1164">
        <v>2900</v>
      </c>
    </row>
    <row r="105" spans="1:22" s="1129" customFormat="1" x14ac:dyDescent="0.25">
      <c r="A105" s="1123">
        <v>4081800200</v>
      </c>
      <c r="B105" s="1125">
        <v>2</v>
      </c>
      <c r="C105" s="1125">
        <v>4</v>
      </c>
      <c r="D105" s="1127" t="s">
        <v>2211</v>
      </c>
      <c r="E105" s="1126" t="s">
        <v>2253</v>
      </c>
      <c r="F105" s="1127" t="s">
        <v>2252</v>
      </c>
      <c r="G105" s="1126" t="s">
        <v>753</v>
      </c>
      <c r="H105" s="1125">
        <v>1</v>
      </c>
      <c r="I105" s="1175" t="s">
        <v>2250</v>
      </c>
      <c r="J105" s="1126">
        <v>1</v>
      </c>
      <c r="K105" s="1125">
        <v>24</v>
      </c>
      <c r="L105" s="1125">
        <v>1</v>
      </c>
      <c r="M105" s="1125">
        <v>1</v>
      </c>
      <c r="N105" s="1126" t="s">
        <v>1259</v>
      </c>
      <c r="O105" s="1125">
        <v>13</v>
      </c>
      <c r="P105" s="1164">
        <v>0</v>
      </c>
      <c r="Q105" s="1164">
        <v>214200</v>
      </c>
      <c r="R105" s="1164">
        <v>214200</v>
      </c>
      <c r="S105" s="1164">
        <v>214200</v>
      </c>
      <c r="T105" s="1164">
        <v>214200</v>
      </c>
      <c r="U105" s="1164">
        <v>214200</v>
      </c>
      <c r="V105" s="1164">
        <v>214200</v>
      </c>
    </row>
    <row r="106" spans="1:22" s="1129" customFormat="1" x14ac:dyDescent="0.25">
      <c r="A106" s="1123">
        <v>4081800200</v>
      </c>
      <c r="B106" s="1125">
        <v>2</v>
      </c>
      <c r="C106" s="1125">
        <v>4</v>
      </c>
      <c r="D106" s="1127" t="s">
        <v>2211</v>
      </c>
      <c r="E106" s="1126" t="s">
        <v>2253</v>
      </c>
      <c r="F106" s="1127" t="s">
        <v>2252</v>
      </c>
      <c r="G106" s="1126" t="s">
        <v>753</v>
      </c>
      <c r="H106" s="1125">
        <v>1</v>
      </c>
      <c r="I106" s="1175" t="s">
        <v>1312</v>
      </c>
      <c r="J106" s="1126">
        <v>1</v>
      </c>
      <c r="K106" s="1125">
        <v>24</v>
      </c>
      <c r="L106" s="1125">
        <v>1</v>
      </c>
      <c r="M106" s="1125">
        <v>1</v>
      </c>
      <c r="N106" s="1126" t="s">
        <v>1259</v>
      </c>
      <c r="O106" s="1125">
        <v>13</v>
      </c>
      <c r="P106" s="1164">
        <v>3000</v>
      </c>
      <c r="Q106" s="1164">
        <v>255</v>
      </c>
      <c r="R106" s="1164">
        <v>3255</v>
      </c>
      <c r="S106" s="1164">
        <v>3255</v>
      </c>
      <c r="T106" s="1164">
        <v>3255</v>
      </c>
      <c r="U106" s="1164">
        <v>3255</v>
      </c>
      <c r="V106" s="1164">
        <v>3255</v>
      </c>
    </row>
    <row r="107" spans="1:22" s="1129" customFormat="1" x14ac:dyDescent="0.25">
      <c r="A107" s="1123">
        <v>4081800200</v>
      </c>
      <c r="B107" s="1125">
        <v>2</v>
      </c>
      <c r="C107" s="1125">
        <v>4</v>
      </c>
      <c r="D107" s="1127" t="s">
        <v>2211</v>
      </c>
      <c r="E107" s="1126" t="s">
        <v>2253</v>
      </c>
      <c r="F107" s="1127" t="s">
        <v>2252</v>
      </c>
      <c r="G107" s="1126" t="s">
        <v>753</v>
      </c>
      <c r="H107" s="1125">
        <v>1</v>
      </c>
      <c r="I107" s="1175" t="s">
        <v>1313</v>
      </c>
      <c r="J107" s="1126">
        <v>1</v>
      </c>
      <c r="K107" s="1125">
        <v>24</v>
      </c>
      <c r="L107" s="1125">
        <v>1</v>
      </c>
      <c r="M107" s="1125">
        <v>1</v>
      </c>
      <c r="N107" s="1126" t="s">
        <v>1259</v>
      </c>
      <c r="O107" s="1125">
        <v>13</v>
      </c>
      <c r="P107" s="1164">
        <v>0</v>
      </c>
      <c r="Q107" s="1164">
        <v>10766.5</v>
      </c>
      <c r="R107" s="1164">
        <v>10766.5</v>
      </c>
      <c r="S107" s="1164">
        <v>10766.5</v>
      </c>
      <c r="T107" s="1164">
        <v>10766.5</v>
      </c>
      <c r="U107" s="1164">
        <v>10766.5</v>
      </c>
      <c r="V107" s="1164">
        <v>10766.5</v>
      </c>
    </row>
    <row r="108" spans="1:22" s="1129" customFormat="1" x14ac:dyDescent="0.25">
      <c r="A108" s="1123">
        <v>4081800300</v>
      </c>
      <c r="B108" s="1125">
        <v>2</v>
      </c>
      <c r="C108" s="1125">
        <v>4</v>
      </c>
      <c r="D108" s="1127" t="s">
        <v>2211</v>
      </c>
      <c r="E108" s="1126" t="s">
        <v>2253</v>
      </c>
      <c r="F108" s="1127" t="s">
        <v>2252</v>
      </c>
      <c r="G108" s="1126" t="s">
        <v>753</v>
      </c>
      <c r="H108" s="1125">
        <v>1</v>
      </c>
      <c r="I108" s="1175" t="s">
        <v>1260</v>
      </c>
      <c r="J108" s="1126">
        <v>1</v>
      </c>
      <c r="K108" s="1125">
        <v>24</v>
      </c>
      <c r="L108" s="1125">
        <v>1</v>
      </c>
      <c r="M108" s="1125">
        <v>1</v>
      </c>
      <c r="N108" s="1126" t="s">
        <v>1259</v>
      </c>
      <c r="O108" s="1125">
        <v>13</v>
      </c>
      <c r="P108" s="1164">
        <v>1934163.36</v>
      </c>
      <c r="Q108" s="1164">
        <v>19485.150000000001</v>
      </c>
      <c r="R108" s="1164">
        <v>1953648.51</v>
      </c>
      <c r="S108" s="1164">
        <v>1953648.51</v>
      </c>
      <c r="T108" s="1164">
        <v>1953648.51</v>
      </c>
      <c r="U108" s="1164">
        <v>1953648.51</v>
      </c>
      <c r="V108" s="1164">
        <v>1953648.51</v>
      </c>
    </row>
    <row r="109" spans="1:22" s="1129" customFormat="1" x14ac:dyDescent="0.25">
      <c r="A109" s="1123">
        <v>4081800300</v>
      </c>
      <c r="B109" s="1125">
        <v>2</v>
      </c>
      <c r="C109" s="1125">
        <v>4</v>
      </c>
      <c r="D109" s="1127" t="s">
        <v>2211</v>
      </c>
      <c r="E109" s="1126" t="s">
        <v>2253</v>
      </c>
      <c r="F109" s="1127" t="s">
        <v>2252</v>
      </c>
      <c r="G109" s="1126" t="s">
        <v>753</v>
      </c>
      <c r="H109" s="1125">
        <v>1</v>
      </c>
      <c r="I109" s="1175" t="s">
        <v>1262</v>
      </c>
      <c r="J109" s="1126">
        <v>1</v>
      </c>
      <c r="K109" s="1125">
        <v>24</v>
      </c>
      <c r="L109" s="1125">
        <v>1</v>
      </c>
      <c r="M109" s="1125">
        <v>1</v>
      </c>
      <c r="N109" s="1126" t="s">
        <v>1259</v>
      </c>
      <c r="O109" s="1125">
        <v>13</v>
      </c>
      <c r="P109" s="1164">
        <v>49072.800000000003</v>
      </c>
      <c r="Q109" s="1164">
        <v>-13162.4</v>
      </c>
      <c r="R109" s="1164">
        <v>35910.400000000001</v>
      </c>
      <c r="S109" s="1164">
        <v>35910.400000000001</v>
      </c>
      <c r="T109" s="1164">
        <v>35910.400000000001</v>
      </c>
      <c r="U109" s="1164">
        <v>35910.400000000001</v>
      </c>
      <c r="V109" s="1164">
        <v>35910.400000000001</v>
      </c>
    </row>
    <row r="110" spans="1:22" s="1129" customFormat="1" x14ac:dyDescent="0.25">
      <c r="A110" s="1123">
        <v>4081800300</v>
      </c>
      <c r="B110" s="1125">
        <v>2</v>
      </c>
      <c r="C110" s="1125">
        <v>4</v>
      </c>
      <c r="D110" s="1127" t="s">
        <v>2211</v>
      </c>
      <c r="E110" s="1126" t="s">
        <v>2253</v>
      </c>
      <c r="F110" s="1127" t="s">
        <v>2252</v>
      </c>
      <c r="G110" s="1126" t="s">
        <v>753</v>
      </c>
      <c r="H110" s="1125">
        <v>1</v>
      </c>
      <c r="I110" s="1175" t="s">
        <v>1263</v>
      </c>
      <c r="J110" s="1126">
        <v>1</v>
      </c>
      <c r="K110" s="1125">
        <v>24</v>
      </c>
      <c r="L110" s="1125">
        <v>1</v>
      </c>
      <c r="M110" s="1125">
        <v>1</v>
      </c>
      <c r="N110" s="1126" t="s">
        <v>1259</v>
      </c>
      <c r="O110" s="1125">
        <v>13</v>
      </c>
      <c r="P110" s="1164">
        <v>561758.88</v>
      </c>
      <c r="Q110" s="1164">
        <v>-21353.200000000001</v>
      </c>
      <c r="R110" s="1164">
        <v>540405.68000000005</v>
      </c>
      <c r="S110" s="1164">
        <v>540405.68000000005</v>
      </c>
      <c r="T110" s="1164">
        <v>540405.68000000005</v>
      </c>
      <c r="U110" s="1164">
        <v>540405.68000000005</v>
      </c>
      <c r="V110" s="1164">
        <v>540405.68000000005</v>
      </c>
    </row>
    <row r="111" spans="1:22" s="1129" customFormat="1" x14ac:dyDescent="0.25">
      <c r="A111" s="1123">
        <v>4081800300</v>
      </c>
      <c r="B111" s="1125">
        <v>2</v>
      </c>
      <c r="C111" s="1125">
        <v>4</v>
      </c>
      <c r="D111" s="1127" t="s">
        <v>2211</v>
      </c>
      <c r="E111" s="1126" t="s">
        <v>2253</v>
      </c>
      <c r="F111" s="1127" t="s">
        <v>2252</v>
      </c>
      <c r="G111" s="1126" t="s">
        <v>753</v>
      </c>
      <c r="H111" s="1125">
        <v>1</v>
      </c>
      <c r="I111" s="1175" t="s">
        <v>1264</v>
      </c>
      <c r="J111" s="1126">
        <v>1</v>
      </c>
      <c r="K111" s="1125">
        <v>24</v>
      </c>
      <c r="L111" s="1125">
        <v>1</v>
      </c>
      <c r="M111" s="1125">
        <v>1</v>
      </c>
      <c r="N111" s="1126" t="s">
        <v>1259</v>
      </c>
      <c r="O111" s="1125">
        <v>13</v>
      </c>
      <c r="P111" s="1164">
        <v>166051.67000000001</v>
      </c>
      <c r="Q111" s="1164">
        <v>-90267.4</v>
      </c>
      <c r="R111" s="1164">
        <v>75784.27</v>
      </c>
      <c r="S111" s="1164">
        <v>75784.27</v>
      </c>
      <c r="T111" s="1164">
        <v>75784.27</v>
      </c>
      <c r="U111" s="1164">
        <v>75784.27</v>
      </c>
      <c r="V111" s="1164">
        <v>75784.27</v>
      </c>
    </row>
    <row r="112" spans="1:22" s="1129" customFormat="1" x14ac:dyDescent="0.25">
      <c r="A112" s="1123">
        <v>4081800300</v>
      </c>
      <c r="B112" s="1125">
        <v>2</v>
      </c>
      <c r="C112" s="1125">
        <v>4</v>
      </c>
      <c r="D112" s="1127" t="s">
        <v>2211</v>
      </c>
      <c r="E112" s="1126" t="s">
        <v>2253</v>
      </c>
      <c r="F112" s="1127" t="s">
        <v>2252</v>
      </c>
      <c r="G112" s="1126" t="s">
        <v>753</v>
      </c>
      <c r="H112" s="1125">
        <v>1</v>
      </c>
      <c r="I112" s="1175" t="s">
        <v>1265</v>
      </c>
      <c r="J112" s="1126">
        <v>1</v>
      </c>
      <c r="K112" s="1125">
        <v>24</v>
      </c>
      <c r="L112" s="1125">
        <v>1</v>
      </c>
      <c r="M112" s="1125">
        <v>1</v>
      </c>
      <c r="N112" s="1126" t="s">
        <v>1259</v>
      </c>
      <c r="O112" s="1125">
        <v>13</v>
      </c>
      <c r="P112" s="1164">
        <v>153250.70000000001</v>
      </c>
      <c r="Q112" s="1164">
        <v>14566.93</v>
      </c>
      <c r="R112" s="1164">
        <v>167817.63</v>
      </c>
      <c r="S112" s="1164">
        <v>167817.63</v>
      </c>
      <c r="T112" s="1164">
        <v>167817.63</v>
      </c>
      <c r="U112" s="1164">
        <v>167817.63</v>
      </c>
      <c r="V112" s="1164">
        <v>167817.63</v>
      </c>
    </row>
    <row r="113" spans="1:22" s="1129" customFormat="1" x14ac:dyDescent="0.25">
      <c r="A113" s="1123">
        <v>4081800300</v>
      </c>
      <c r="B113" s="1125">
        <v>2</v>
      </c>
      <c r="C113" s="1125">
        <v>4</v>
      </c>
      <c r="D113" s="1127" t="s">
        <v>2211</v>
      </c>
      <c r="E113" s="1126" t="s">
        <v>2253</v>
      </c>
      <c r="F113" s="1127" t="s">
        <v>2252</v>
      </c>
      <c r="G113" s="1126" t="s">
        <v>753</v>
      </c>
      <c r="H113" s="1125">
        <v>1</v>
      </c>
      <c r="I113" s="1175" t="s">
        <v>1266</v>
      </c>
      <c r="J113" s="1126">
        <v>1</v>
      </c>
      <c r="K113" s="1125">
        <v>24</v>
      </c>
      <c r="L113" s="1125">
        <v>1</v>
      </c>
      <c r="M113" s="1125">
        <v>1</v>
      </c>
      <c r="N113" s="1126" t="s">
        <v>1259</v>
      </c>
      <c r="O113" s="1125">
        <v>13</v>
      </c>
      <c r="P113" s="1164">
        <v>322501.40000000002</v>
      </c>
      <c r="Q113" s="1164">
        <v>91575.17</v>
      </c>
      <c r="R113" s="1164">
        <v>414076.57</v>
      </c>
      <c r="S113" s="1164">
        <v>414076.57</v>
      </c>
      <c r="T113" s="1164">
        <v>414076.57</v>
      </c>
      <c r="U113" s="1164">
        <v>414076.57</v>
      </c>
      <c r="V113" s="1164">
        <v>414076.57</v>
      </c>
    </row>
    <row r="114" spans="1:22" s="1129" customFormat="1" x14ac:dyDescent="0.25">
      <c r="A114" s="1123">
        <v>4081800300</v>
      </c>
      <c r="B114" s="1125">
        <v>2</v>
      </c>
      <c r="C114" s="1125">
        <v>4</v>
      </c>
      <c r="D114" s="1127" t="s">
        <v>2211</v>
      </c>
      <c r="E114" s="1126" t="s">
        <v>2253</v>
      </c>
      <c r="F114" s="1127" t="s">
        <v>2252</v>
      </c>
      <c r="G114" s="1126" t="s">
        <v>753</v>
      </c>
      <c r="H114" s="1125">
        <v>1</v>
      </c>
      <c r="I114" s="1175" t="s">
        <v>2119</v>
      </c>
      <c r="J114" s="1126">
        <v>1</v>
      </c>
      <c r="K114" s="1125">
        <v>24</v>
      </c>
      <c r="L114" s="1125">
        <v>1</v>
      </c>
      <c r="M114" s="1125">
        <v>1</v>
      </c>
      <c r="N114" s="1126" t="s">
        <v>1259</v>
      </c>
      <c r="O114" s="1125">
        <v>13</v>
      </c>
      <c r="P114" s="1164">
        <v>38312.67</v>
      </c>
      <c r="Q114" s="1164">
        <v>-3306.86</v>
      </c>
      <c r="R114" s="1164">
        <v>35005.81</v>
      </c>
      <c r="S114" s="1164">
        <v>35005.81</v>
      </c>
      <c r="T114" s="1164">
        <v>35005.81</v>
      </c>
      <c r="U114" s="1164">
        <v>35005.81</v>
      </c>
      <c r="V114" s="1164">
        <v>35005.81</v>
      </c>
    </row>
    <row r="115" spans="1:22" s="1129" customFormat="1" x14ac:dyDescent="0.25">
      <c r="A115" s="1123">
        <v>4081800300</v>
      </c>
      <c r="B115" s="1125">
        <v>2</v>
      </c>
      <c r="C115" s="1125">
        <v>4</v>
      </c>
      <c r="D115" s="1127" t="s">
        <v>2211</v>
      </c>
      <c r="E115" s="1126" t="s">
        <v>2253</v>
      </c>
      <c r="F115" s="1127" t="s">
        <v>2252</v>
      </c>
      <c r="G115" s="1126" t="s">
        <v>753</v>
      </c>
      <c r="H115" s="1125">
        <v>1</v>
      </c>
      <c r="I115" s="1175" t="s">
        <v>2120</v>
      </c>
      <c r="J115" s="1126">
        <v>1</v>
      </c>
      <c r="K115" s="1125">
        <v>24</v>
      </c>
      <c r="L115" s="1125">
        <v>1</v>
      </c>
      <c r="M115" s="1125">
        <v>1</v>
      </c>
      <c r="N115" s="1126" t="s">
        <v>1259</v>
      </c>
      <c r="O115" s="1125">
        <v>13</v>
      </c>
      <c r="P115" s="1164">
        <v>38312.67</v>
      </c>
      <c r="Q115" s="1164">
        <v>-3306.86</v>
      </c>
      <c r="R115" s="1164">
        <v>35005.81</v>
      </c>
      <c r="S115" s="1164">
        <v>35005.81</v>
      </c>
      <c r="T115" s="1164">
        <v>35005.81</v>
      </c>
      <c r="U115" s="1164">
        <v>35005.81</v>
      </c>
      <c r="V115" s="1164">
        <v>35005.81</v>
      </c>
    </row>
    <row r="116" spans="1:22" s="1129" customFormat="1" x14ac:dyDescent="0.25">
      <c r="A116" s="1123">
        <v>4081800300</v>
      </c>
      <c r="B116" s="1125">
        <v>2</v>
      </c>
      <c r="C116" s="1125">
        <v>4</v>
      </c>
      <c r="D116" s="1127" t="s">
        <v>2211</v>
      </c>
      <c r="E116" s="1126" t="s">
        <v>2253</v>
      </c>
      <c r="F116" s="1127" t="s">
        <v>2252</v>
      </c>
      <c r="G116" s="1126" t="s">
        <v>753</v>
      </c>
      <c r="H116" s="1125">
        <v>1</v>
      </c>
      <c r="I116" s="1175" t="s">
        <v>1267</v>
      </c>
      <c r="J116" s="1126">
        <v>1</v>
      </c>
      <c r="K116" s="1125">
        <v>24</v>
      </c>
      <c r="L116" s="1125">
        <v>1</v>
      </c>
      <c r="M116" s="1125">
        <v>1</v>
      </c>
      <c r="N116" s="1126" t="s">
        <v>1259</v>
      </c>
      <c r="O116" s="1125">
        <v>13</v>
      </c>
      <c r="P116" s="1164">
        <v>150.47999999999999</v>
      </c>
      <c r="Q116" s="1164">
        <v>-3.99</v>
      </c>
      <c r="R116" s="1164">
        <v>146.49</v>
      </c>
      <c r="S116" s="1164">
        <v>146.49</v>
      </c>
      <c r="T116" s="1164">
        <v>146.49</v>
      </c>
      <c r="U116" s="1164">
        <v>146.49</v>
      </c>
      <c r="V116" s="1164">
        <v>146.49</v>
      </c>
    </row>
    <row r="117" spans="1:22" s="1129" customFormat="1" x14ac:dyDescent="0.25">
      <c r="A117" s="1123">
        <v>4081800300</v>
      </c>
      <c r="B117" s="1125">
        <v>2</v>
      </c>
      <c r="C117" s="1125">
        <v>4</v>
      </c>
      <c r="D117" s="1127" t="s">
        <v>2211</v>
      </c>
      <c r="E117" s="1126" t="s">
        <v>2253</v>
      </c>
      <c r="F117" s="1127" t="s">
        <v>2252</v>
      </c>
      <c r="G117" s="1126" t="s">
        <v>753</v>
      </c>
      <c r="H117" s="1125">
        <v>1</v>
      </c>
      <c r="I117" s="1175" t="s">
        <v>1268</v>
      </c>
      <c r="J117" s="1126">
        <v>1</v>
      </c>
      <c r="K117" s="1125">
        <v>24</v>
      </c>
      <c r="L117" s="1125">
        <v>1</v>
      </c>
      <c r="M117" s="1125">
        <v>1</v>
      </c>
      <c r="N117" s="1126" t="s">
        <v>1259</v>
      </c>
      <c r="O117" s="1125">
        <v>13</v>
      </c>
      <c r="P117" s="1164">
        <v>1499.52</v>
      </c>
      <c r="Q117" s="1164">
        <v>-39.76</v>
      </c>
      <c r="R117" s="1164">
        <v>1459.76</v>
      </c>
      <c r="S117" s="1164">
        <v>1459.76</v>
      </c>
      <c r="T117" s="1164">
        <v>1459.76</v>
      </c>
      <c r="U117" s="1164">
        <v>1459.76</v>
      </c>
      <c r="V117" s="1164">
        <v>1459.76</v>
      </c>
    </row>
    <row r="118" spans="1:22" s="1129" customFormat="1" x14ac:dyDescent="0.25">
      <c r="A118" s="1123">
        <v>4081800300</v>
      </c>
      <c r="B118" s="1125">
        <v>2</v>
      </c>
      <c r="C118" s="1125">
        <v>4</v>
      </c>
      <c r="D118" s="1127" t="s">
        <v>2211</v>
      </c>
      <c r="E118" s="1126" t="s">
        <v>2253</v>
      </c>
      <c r="F118" s="1127" t="s">
        <v>2252</v>
      </c>
      <c r="G118" s="1126" t="s">
        <v>753</v>
      </c>
      <c r="H118" s="1125">
        <v>1</v>
      </c>
      <c r="I118" s="1175" t="s">
        <v>1269</v>
      </c>
      <c r="J118" s="1126">
        <v>1</v>
      </c>
      <c r="K118" s="1125">
        <v>24</v>
      </c>
      <c r="L118" s="1125">
        <v>1</v>
      </c>
      <c r="M118" s="1125">
        <v>1</v>
      </c>
      <c r="N118" s="1126" t="s">
        <v>1259</v>
      </c>
      <c r="O118" s="1125">
        <v>13</v>
      </c>
      <c r="P118" s="1164">
        <v>16049.76</v>
      </c>
      <c r="Q118" s="1164">
        <v>-609.66</v>
      </c>
      <c r="R118" s="1164">
        <v>15440.1</v>
      </c>
      <c r="S118" s="1164">
        <v>15440.1</v>
      </c>
      <c r="T118" s="1164">
        <v>15440.1</v>
      </c>
      <c r="U118" s="1164">
        <v>15440.1</v>
      </c>
      <c r="V118" s="1164">
        <v>15440.1</v>
      </c>
    </row>
    <row r="119" spans="1:22" s="1129" customFormat="1" x14ac:dyDescent="0.25">
      <c r="A119" s="1123">
        <v>4081800300</v>
      </c>
      <c r="B119" s="1125">
        <v>2</v>
      </c>
      <c r="C119" s="1125">
        <v>4</v>
      </c>
      <c r="D119" s="1127" t="s">
        <v>2211</v>
      </c>
      <c r="E119" s="1126" t="s">
        <v>2253</v>
      </c>
      <c r="F119" s="1127" t="s">
        <v>2252</v>
      </c>
      <c r="G119" s="1126" t="s">
        <v>753</v>
      </c>
      <c r="H119" s="1125">
        <v>1</v>
      </c>
      <c r="I119" s="1175" t="s">
        <v>1270</v>
      </c>
      <c r="J119" s="1126">
        <v>1</v>
      </c>
      <c r="K119" s="1125">
        <v>24</v>
      </c>
      <c r="L119" s="1125">
        <v>1</v>
      </c>
      <c r="M119" s="1125">
        <v>1</v>
      </c>
      <c r="N119" s="1126" t="s">
        <v>1259</v>
      </c>
      <c r="O119" s="1125">
        <v>13</v>
      </c>
      <c r="P119" s="1164">
        <v>96302.16</v>
      </c>
      <c r="Q119" s="1164">
        <v>-3661.27</v>
      </c>
      <c r="R119" s="1164">
        <v>92640.89</v>
      </c>
      <c r="S119" s="1164">
        <v>92640.89</v>
      </c>
      <c r="T119" s="1164">
        <v>92640.89</v>
      </c>
      <c r="U119" s="1164">
        <v>92640.89</v>
      </c>
      <c r="V119" s="1164">
        <v>92640.89</v>
      </c>
    </row>
    <row r="120" spans="1:22" s="1129" customFormat="1" x14ac:dyDescent="0.25">
      <c r="A120" s="1123">
        <v>4081800300</v>
      </c>
      <c r="B120" s="1125">
        <v>2</v>
      </c>
      <c r="C120" s="1125">
        <v>4</v>
      </c>
      <c r="D120" s="1127" t="s">
        <v>2211</v>
      </c>
      <c r="E120" s="1126" t="s">
        <v>2253</v>
      </c>
      <c r="F120" s="1127" t="s">
        <v>2252</v>
      </c>
      <c r="G120" s="1126" t="s">
        <v>753</v>
      </c>
      <c r="H120" s="1125">
        <v>1</v>
      </c>
      <c r="I120" s="1175" t="s">
        <v>1271</v>
      </c>
      <c r="J120" s="1126">
        <v>1</v>
      </c>
      <c r="K120" s="1125">
        <v>24</v>
      </c>
      <c r="L120" s="1125">
        <v>1</v>
      </c>
      <c r="M120" s="1125">
        <v>1</v>
      </c>
      <c r="N120" s="1126" t="s">
        <v>1259</v>
      </c>
      <c r="O120" s="1125">
        <v>13</v>
      </c>
      <c r="P120" s="1164">
        <v>32100.959999999999</v>
      </c>
      <c r="Q120" s="1164">
        <v>-1220.49</v>
      </c>
      <c r="R120" s="1164">
        <v>30880.47</v>
      </c>
      <c r="S120" s="1164">
        <v>30880.47</v>
      </c>
      <c r="T120" s="1164">
        <v>30880.47</v>
      </c>
      <c r="U120" s="1164">
        <v>30880.47</v>
      </c>
      <c r="V120" s="1164">
        <v>30880.47</v>
      </c>
    </row>
    <row r="121" spans="1:22" s="1129" customFormat="1" x14ac:dyDescent="0.25">
      <c r="A121" s="1123">
        <v>4081800300</v>
      </c>
      <c r="B121" s="1125">
        <v>2</v>
      </c>
      <c r="C121" s="1125">
        <v>4</v>
      </c>
      <c r="D121" s="1127" t="s">
        <v>2211</v>
      </c>
      <c r="E121" s="1126" t="s">
        <v>2253</v>
      </c>
      <c r="F121" s="1127" t="s">
        <v>2252</v>
      </c>
      <c r="G121" s="1126" t="s">
        <v>753</v>
      </c>
      <c r="H121" s="1125">
        <v>1</v>
      </c>
      <c r="I121" s="1175" t="s">
        <v>1272</v>
      </c>
      <c r="J121" s="1126">
        <v>1</v>
      </c>
      <c r="K121" s="1125">
        <v>24</v>
      </c>
      <c r="L121" s="1125">
        <v>1</v>
      </c>
      <c r="M121" s="1125">
        <v>1</v>
      </c>
      <c r="N121" s="1126" t="s">
        <v>1259</v>
      </c>
      <c r="O121" s="1125">
        <v>13</v>
      </c>
      <c r="P121" s="1164">
        <v>22152</v>
      </c>
      <c r="Q121" s="1164">
        <v>12922</v>
      </c>
      <c r="R121" s="1164">
        <v>35074</v>
      </c>
      <c r="S121" s="1164">
        <v>35074</v>
      </c>
      <c r="T121" s="1164">
        <v>35074</v>
      </c>
      <c r="U121" s="1164">
        <v>35074</v>
      </c>
      <c r="V121" s="1164">
        <v>35074</v>
      </c>
    </row>
    <row r="122" spans="1:22" s="1129" customFormat="1" x14ac:dyDescent="0.25">
      <c r="A122" s="1123">
        <v>4081800300</v>
      </c>
      <c r="B122" s="1125">
        <v>2</v>
      </c>
      <c r="C122" s="1125">
        <v>4</v>
      </c>
      <c r="D122" s="1127" t="s">
        <v>2211</v>
      </c>
      <c r="E122" s="1126" t="s">
        <v>2253</v>
      </c>
      <c r="F122" s="1127" t="s">
        <v>2252</v>
      </c>
      <c r="G122" s="1126" t="s">
        <v>753</v>
      </c>
      <c r="H122" s="1125">
        <v>1</v>
      </c>
      <c r="I122" s="1175" t="s">
        <v>1273</v>
      </c>
      <c r="J122" s="1126">
        <v>1</v>
      </c>
      <c r="K122" s="1125">
        <v>24</v>
      </c>
      <c r="L122" s="1125">
        <v>1</v>
      </c>
      <c r="M122" s="1125">
        <v>1</v>
      </c>
      <c r="N122" s="1126" t="s">
        <v>1259</v>
      </c>
      <c r="O122" s="1125">
        <v>13</v>
      </c>
      <c r="P122" s="1164">
        <v>272854.32</v>
      </c>
      <c r="Q122" s="1164">
        <v>122833.59</v>
      </c>
      <c r="R122" s="1164">
        <v>395687.91</v>
      </c>
      <c r="S122" s="1164">
        <v>395687.91</v>
      </c>
      <c r="T122" s="1164">
        <v>395687.91</v>
      </c>
      <c r="U122" s="1164">
        <v>395687.91</v>
      </c>
      <c r="V122" s="1164">
        <v>262482.76</v>
      </c>
    </row>
    <row r="123" spans="1:22" s="1129" customFormat="1" x14ac:dyDescent="0.25">
      <c r="A123" s="1123">
        <v>4081800300</v>
      </c>
      <c r="B123" s="1125">
        <v>2</v>
      </c>
      <c r="C123" s="1125">
        <v>4</v>
      </c>
      <c r="D123" s="1127" t="s">
        <v>2211</v>
      </c>
      <c r="E123" s="1126" t="s">
        <v>2253</v>
      </c>
      <c r="F123" s="1127" t="s">
        <v>2252</v>
      </c>
      <c r="G123" s="1126" t="s">
        <v>753</v>
      </c>
      <c r="H123" s="1125">
        <v>1</v>
      </c>
      <c r="I123" s="1175" t="s">
        <v>1274</v>
      </c>
      <c r="J123" s="1126">
        <v>1</v>
      </c>
      <c r="K123" s="1125">
        <v>24</v>
      </c>
      <c r="L123" s="1125">
        <v>1</v>
      </c>
      <c r="M123" s="1125">
        <v>1</v>
      </c>
      <c r="N123" s="1126" t="s">
        <v>1259</v>
      </c>
      <c r="O123" s="1125">
        <v>13</v>
      </c>
      <c r="P123" s="1164">
        <v>16049.76</v>
      </c>
      <c r="Q123" s="1164">
        <v>-609.66</v>
      </c>
      <c r="R123" s="1164">
        <v>15440.1</v>
      </c>
      <c r="S123" s="1164">
        <v>15440.1</v>
      </c>
      <c r="T123" s="1164">
        <v>15440.1</v>
      </c>
      <c r="U123" s="1164">
        <v>15440.1</v>
      </c>
      <c r="V123" s="1164">
        <v>15440.1</v>
      </c>
    </row>
    <row r="124" spans="1:22" s="1129" customFormat="1" x14ac:dyDescent="0.25">
      <c r="A124" s="1123">
        <v>4081800300</v>
      </c>
      <c r="B124" s="1125">
        <v>2</v>
      </c>
      <c r="C124" s="1125">
        <v>4</v>
      </c>
      <c r="D124" s="1127" t="s">
        <v>2211</v>
      </c>
      <c r="E124" s="1126" t="s">
        <v>2253</v>
      </c>
      <c r="F124" s="1127" t="s">
        <v>2252</v>
      </c>
      <c r="G124" s="1126" t="s">
        <v>753</v>
      </c>
      <c r="H124" s="1125">
        <v>1</v>
      </c>
      <c r="I124" s="1175" t="s">
        <v>1275</v>
      </c>
      <c r="J124" s="1126">
        <v>1</v>
      </c>
      <c r="K124" s="1125">
        <v>24</v>
      </c>
      <c r="L124" s="1125">
        <v>1</v>
      </c>
      <c r="M124" s="1125">
        <v>1</v>
      </c>
      <c r="N124" s="1126" t="s">
        <v>1259</v>
      </c>
      <c r="O124" s="1125">
        <v>13</v>
      </c>
      <c r="P124" s="1164">
        <v>128401.92</v>
      </c>
      <c r="Q124" s="1164">
        <v>-4880.57</v>
      </c>
      <c r="R124" s="1164">
        <v>123521.35</v>
      </c>
      <c r="S124" s="1164">
        <v>123521.35</v>
      </c>
      <c r="T124" s="1164">
        <v>123521.35</v>
      </c>
      <c r="U124" s="1164">
        <v>123521.35</v>
      </c>
      <c r="V124" s="1164">
        <v>123521.35</v>
      </c>
    </row>
    <row r="125" spans="1:22" s="1129" customFormat="1" x14ac:dyDescent="0.25">
      <c r="A125" s="1123">
        <v>4081800300</v>
      </c>
      <c r="B125" s="1125">
        <v>2</v>
      </c>
      <c r="C125" s="1125">
        <v>4</v>
      </c>
      <c r="D125" s="1127" t="s">
        <v>2211</v>
      </c>
      <c r="E125" s="1126" t="s">
        <v>2253</v>
      </c>
      <c r="F125" s="1127" t="s">
        <v>2252</v>
      </c>
      <c r="G125" s="1126" t="s">
        <v>753</v>
      </c>
      <c r="H125" s="1125">
        <v>1</v>
      </c>
      <c r="I125" s="1175" t="s">
        <v>1276</v>
      </c>
      <c r="J125" s="1126">
        <v>1</v>
      </c>
      <c r="K125" s="1125">
        <v>24</v>
      </c>
      <c r="L125" s="1125">
        <v>1</v>
      </c>
      <c r="M125" s="1125">
        <v>1</v>
      </c>
      <c r="N125" s="1126" t="s">
        <v>1259</v>
      </c>
      <c r="O125" s="1125">
        <v>13</v>
      </c>
      <c r="P125" s="1164">
        <v>545708.64</v>
      </c>
      <c r="Q125" s="1164">
        <v>-20742.830000000002</v>
      </c>
      <c r="R125" s="1164">
        <v>524965.81000000006</v>
      </c>
      <c r="S125" s="1164">
        <v>524965.81000000006</v>
      </c>
      <c r="T125" s="1164">
        <v>524965.81000000006</v>
      </c>
      <c r="U125" s="1164">
        <v>524965.81000000006</v>
      </c>
      <c r="V125" s="1164">
        <v>524965.81000000006</v>
      </c>
    </row>
    <row r="126" spans="1:22" s="1129" customFormat="1" x14ac:dyDescent="0.25">
      <c r="A126" s="1123">
        <v>4081800300</v>
      </c>
      <c r="B126" s="1125">
        <v>2</v>
      </c>
      <c r="C126" s="1125">
        <v>4</v>
      </c>
      <c r="D126" s="1127" t="s">
        <v>2211</v>
      </c>
      <c r="E126" s="1126" t="s">
        <v>2253</v>
      </c>
      <c r="F126" s="1127" t="s">
        <v>2252</v>
      </c>
      <c r="G126" s="1126" t="s">
        <v>753</v>
      </c>
      <c r="H126" s="1125">
        <v>1</v>
      </c>
      <c r="I126" s="1175" t="s">
        <v>1277</v>
      </c>
      <c r="J126" s="1126">
        <v>1</v>
      </c>
      <c r="K126" s="1125">
        <v>24</v>
      </c>
      <c r="L126" s="1125">
        <v>1</v>
      </c>
      <c r="M126" s="1125">
        <v>1</v>
      </c>
      <c r="N126" s="1126" t="s">
        <v>1259</v>
      </c>
      <c r="O126" s="1125">
        <v>13</v>
      </c>
      <c r="P126" s="1164">
        <v>2904</v>
      </c>
      <c r="Q126" s="1164">
        <v>76423</v>
      </c>
      <c r="R126" s="1164">
        <v>79327</v>
      </c>
      <c r="S126" s="1164">
        <v>79327</v>
      </c>
      <c r="T126" s="1164">
        <v>79327</v>
      </c>
      <c r="U126" s="1164">
        <v>79327</v>
      </c>
      <c r="V126" s="1164">
        <v>2827</v>
      </c>
    </row>
    <row r="127" spans="1:22" s="1129" customFormat="1" x14ac:dyDescent="0.25">
      <c r="A127" s="1123">
        <v>4081800300</v>
      </c>
      <c r="B127" s="1125">
        <v>2</v>
      </c>
      <c r="C127" s="1125">
        <v>4</v>
      </c>
      <c r="D127" s="1127" t="s">
        <v>2211</v>
      </c>
      <c r="E127" s="1126" t="s">
        <v>2253</v>
      </c>
      <c r="F127" s="1127" t="s">
        <v>2252</v>
      </c>
      <c r="G127" s="1126" t="s">
        <v>753</v>
      </c>
      <c r="H127" s="1125">
        <v>1</v>
      </c>
      <c r="I127" s="1175" t="s">
        <v>2229</v>
      </c>
      <c r="J127" s="1126">
        <v>1</v>
      </c>
      <c r="K127" s="1125">
        <v>24</v>
      </c>
      <c r="L127" s="1125">
        <v>1</v>
      </c>
      <c r="M127" s="1125">
        <v>1</v>
      </c>
      <c r="N127" s="1126" t="s">
        <v>1259</v>
      </c>
      <c r="O127" s="1125">
        <v>13</v>
      </c>
      <c r="P127" s="1164">
        <v>66000</v>
      </c>
      <c r="Q127" s="1164">
        <v>-66000</v>
      </c>
      <c r="R127" s="1164">
        <v>0</v>
      </c>
      <c r="S127" s="1164">
        <v>0</v>
      </c>
      <c r="T127" s="1164">
        <v>0</v>
      </c>
      <c r="U127" s="1164">
        <v>0</v>
      </c>
      <c r="V127" s="1164">
        <v>0</v>
      </c>
    </row>
    <row r="128" spans="1:22" s="1129" customFormat="1" x14ac:dyDescent="0.25">
      <c r="A128" s="1123">
        <v>4081800300</v>
      </c>
      <c r="B128" s="1125">
        <v>2</v>
      </c>
      <c r="C128" s="1125">
        <v>4</v>
      </c>
      <c r="D128" s="1127" t="s">
        <v>2211</v>
      </c>
      <c r="E128" s="1126" t="s">
        <v>2253</v>
      </c>
      <c r="F128" s="1127" t="s">
        <v>2252</v>
      </c>
      <c r="G128" s="1126" t="s">
        <v>753</v>
      </c>
      <c r="H128" s="1125">
        <v>1</v>
      </c>
      <c r="I128" s="1175" t="s">
        <v>1278</v>
      </c>
      <c r="J128" s="1126">
        <v>1</v>
      </c>
      <c r="K128" s="1125">
        <v>24</v>
      </c>
      <c r="L128" s="1125">
        <v>1</v>
      </c>
      <c r="M128" s="1125">
        <v>1</v>
      </c>
      <c r="N128" s="1126" t="s">
        <v>1259</v>
      </c>
      <c r="O128" s="1125">
        <v>13</v>
      </c>
      <c r="P128" s="1164">
        <v>516</v>
      </c>
      <c r="Q128" s="1164">
        <v>-215</v>
      </c>
      <c r="R128" s="1164">
        <v>301</v>
      </c>
      <c r="S128" s="1164">
        <v>301</v>
      </c>
      <c r="T128" s="1164">
        <v>301</v>
      </c>
      <c r="U128" s="1164">
        <v>301</v>
      </c>
      <c r="V128" s="1164">
        <v>301</v>
      </c>
    </row>
    <row r="129" spans="1:22" s="1129" customFormat="1" x14ac:dyDescent="0.25">
      <c r="A129" s="1123">
        <v>4081800300</v>
      </c>
      <c r="B129" s="1125">
        <v>2</v>
      </c>
      <c r="C129" s="1125">
        <v>4</v>
      </c>
      <c r="D129" s="1127" t="s">
        <v>2211</v>
      </c>
      <c r="E129" s="1126" t="s">
        <v>2253</v>
      </c>
      <c r="F129" s="1127" t="s">
        <v>2252</v>
      </c>
      <c r="G129" s="1126" t="s">
        <v>753</v>
      </c>
      <c r="H129" s="1125">
        <v>1</v>
      </c>
      <c r="I129" s="1175" t="s">
        <v>1279</v>
      </c>
      <c r="J129" s="1126">
        <v>1</v>
      </c>
      <c r="K129" s="1125">
        <v>24</v>
      </c>
      <c r="L129" s="1125">
        <v>1</v>
      </c>
      <c r="M129" s="1125">
        <v>1</v>
      </c>
      <c r="N129" s="1126" t="s">
        <v>1259</v>
      </c>
      <c r="O129" s="1125">
        <v>13</v>
      </c>
      <c r="P129" s="1164">
        <v>6859.2</v>
      </c>
      <c r="Q129" s="1164">
        <v>-1428.6</v>
      </c>
      <c r="R129" s="1164">
        <v>5430.6</v>
      </c>
      <c r="S129" s="1164">
        <v>5430.6</v>
      </c>
      <c r="T129" s="1164">
        <v>5430.6</v>
      </c>
      <c r="U129" s="1164">
        <v>5430.6</v>
      </c>
      <c r="V129" s="1164">
        <v>5430.6</v>
      </c>
    </row>
    <row r="130" spans="1:22" s="1129" customFormat="1" x14ac:dyDescent="0.25">
      <c r="A130" s="1123">
        <v>4081800300</v>
      </c>
      <c r="B130" s="1125">
        <v>2</v>
      </c>
      <c r="C130" s="1125">
        <v>4</v>
      </c>
      <c r="D130" s="1127" t="s">
        <v>2211</v>
      </c>
      <c r="E130" s="1126" t="s">
        <v>2253</v>
      </c>
      <c r="F130" s="1127" t="s">
        <v>2252</v>
      </c>
      <c r="G130" s="1126" t="s">
        <v>753</v>
      </c>
      <c r="H130" s="1125">
        <v>1</v>
      </c>
      <c r="I130" s="1175" t="s">
        <v>2246</v>
      </c>
      <c r="J130" s="1126">
        <v>1</v>
      </c>
      <c r="K130" s="1125">
        <v>24</v>
      </c>
      <c r="L130" s="1125">
        <v>1</v>
      </c>
      <c r="M130" s="1125">
        <v>1</v>
      </c>
      <c r="N130" s="1126" t="s">
        <v>1259</v>
      </c>
      <c r="O130" s="1125">
        <v>13</v>
      </c>
      <c r="P130" s="1164">
        <v>0</v>
      </c>
      <c r="Q130" s="1164">
        <v>308003.89</v>
      </c>
      <c r="R130" s="1164">
        <v>308003.89</v>
      </c>
      <c r="S130" s="1164">
        <v>308003.89</v>
      </c>
      <c r="T130" s="1164">
        <v>308003.89</v>
      </c>
      <c r="U130" s="1164">
        <v>308003.89</v>
      </c>
      <c r="V130" s="1164">
        <v>308003.89</v>
      </c>
    </row>
    <row r="131" spans="1:22" s="1129" customFormat="1" x14ac:dyDescent="0.25">
      <c r="A131" s="1123">
        <v>4081800300</v>
      </c>
      <c r="B131" s="1125">
        <v>2</v>
      </c>
      <c r="C131" s="1125">
        <v>4</v>
      </c>
      <c r="D131" s="1127" t="s">
        <v>2211</v>
      </c>
      <c r="E131" s="1126" t="s">
        <v>2253</v>
      </c>
      <c r="F131" s="1127" t="s">
        <v>2252</v>
      </c>
      <c r="G131" s="1126" t="s">
        <v>753</v>
      </c>
      <c r="H131" s="1125">
        <v>1</v>
      </c>
      <c r="I131" s="1175" t="s">
        <v>1280</v>
      </c>
      <c r="J131" s="1126">
        <v>1</v>
      </c>
      <c r="K131" s="1125">
        <v>24</v>
      </c>
      <c r="L131" s="1125">
        <v>1</v>
      </c>
      <c r="M131" s="1125">
        <v>1</v>
      </c>
      <c r="N131" s="1126" t="s">
        <v>1259</v>
      </c>
      <c r="O131" s="1125">
        <v>13</v>
      </c>
      <c r="P131" s="1164">
        <v>31924.13</v>
      </c>
      <c r="Q131" s="1164">
        <v>26782.799999999999</v>
      </c>
      <c r="R131" s="1164">
        <v>58706.93</v>
      </c>
      <c r="S131" s="1164">
        <v>58706.93</v>
      </c>
      <c r="T131" s="1164">
        <v>58706.93</v>
      </c>
      <c r="U131" s="1164">
        <v>58706.93</v>
      </c>
      <c r="V131" s="1164">
        <v>26064.05</v>
      </c>
    </row>
    <row r="132" spans="1:22" s="1129" customFormat="1" x14ac:dyDescent="0.25">
      <c r="A132" s="1123">
        <v>4081800300</v>
      </c>
      <c r="B132" s="1125">
        <v>2</v>
      </c>
      <c r="C132" s="1125">
        <v>4</v>
      </c>
      <c r="D132" s="1127" t="s">
        <v>2211</v>
      </c>
      <c r="E132" s="1126" t="s">
        <v>2253</v>
      </c>
      <c r="F132" s="1127" t="s">
        <v>2252</v>
      </c>
      <c r="G132" s="1126" t="s">
        <v>753</v>
      </c>
      <c r="H132" s="1125">
        <v>1</v>
      </c>
      <c r="I132" s="1175" t="s">
        <v>2193</v>
      </c>
      <c r="J132" s="1126">
        <v>1</v>
      </c>
      <c r="K132" s="1125">
        <v>24</v>
      </c>
      <c r="L132" s="1125">
        <v>1</v>
      </c>
      <c r="M132" s="1125">
        <v>1</v>
      </c>
      <c r="N132" s="1126" t="s">
        <v>1259</v>
      </c>
      <c r="O132" s="1125">
        <v>13</v>
      </c>
      <c r="P132" s="1164">
        <v>45206.879999999997</v>
      </c>
      <c r="Q132" s="1164">
        <v>-20212.09</v>
      </c>
      <c r="R132" s="1164">
        <v>24994.79</v>
      </c>
      <c r="S132" s="1164">
        <v>24994.79</v>
      </c>
      <c r="T132" s="1164">
        <v>24994.79</v>
      </c>
      <c r="U132" s="1164">
        <v>24994.79</v>
      </c>
      <c r="V132" s="1164">
        <v>24994.79</v>
      </c>
    </row>
    <row r="133" spans="1:22" s="1129" customFormat="1" x14ac:dyDescent="0.25">
      <c r="A133" s="1123">
        <v>4081800300</v>
      </c>
      <c r="B133" s="1125">
        <v>2</v>
      </c>
      <c r="C133" s="1125">
        <v>4</v>
      </c>
      <c r="D133" s="1127" t="s">
        <v>2211</v>
      </c>
      <c r="E133" s="1126" t="s">
        <v>2253</v>
      </c>
      <c r="F133" s="1127" t="s">
        <v>2252</v>
      </c>
      <c r="G133" s="1126" t="s">
        <v>753</v>
      </c>
      <c r="H133" s="1125">
        <v>1</v>
      </c>
      <c r="I133" s="1175" t="s">
        <v>1358</v>
      </c>
      <c r="J133" s="1126">
        <v>1</v>
      </c>
      <c r="K133" s="1125">
        <v>24</v>
      </c>
      <c r="L133" s="1125">
        <v>1</v>
      </c>
      <c r="M133" s="1125">
        <v>1</v>
      </c>
      <c r="N133" s="1126" t="s">
        <v>1259</v>
      </c>
      <c r="O133" s="1125">
        <v>13</v>
      </c>
      <c r="P133" s="1164">
        <v>94320</v>
      </c>
      <c r="Q133" s="1164">
        <v>-15720</v>
      </c>
      <c r="R133" s="1164">
        <v>78600</v>
      </c>
      <c r="S133" s="1164">
        <v>78600</v>
      </c>
      <c r="T133" s="1164">
        <v>78600</v>
      </c>
      <c r="U133" s="1164">
        <v>78600</v>
      </c>
      <c r="V133" s="1164">
        <v>78600</v>
      </c>
    </row>
    <row r="134" spans="1:22" s="1129" customFormat="1" x14ac:dyDescent="0.25">
      <c r="A134" s="1123">
        <v>4081800300</v>
      </c>
      <c r="B134" s="1125">
        <v>2</v>
      </c>
      <c r="C134" s="1125">
        <v>4</v>
      </c>
      <c r="D134" s="1127" t="s">
        <v>2211</v>
      </c>
      <c r="E134" s="1126" t="s">
        <v>2253</v>
      </c>
      <c r="F134" s="1127" t="s">
        <v>2252</v>
      </c>
      <c r="G134" s="1126" t="s">
        <v>753</v>
      </c>
      <c r="H134" s="1125">
        <v>1</v>
      </c>
      <c r="I134" s="1175" t="s">
        <v>1381</v>
      </c>
      <c r="J134" s="1126">
        <v>1</v>
      </c>
      <c r="K134" s="1125">
        <v>24</v>
      </c>
      <c r="L134" s="1125">
        <v>1</v>
      </c>
      <c r="M134" s="1125">
        <v>1</v>
      </c>
      <c r="N134" s="1126" t="s">
        <v>1259</v>
      </c>
      <c r="O134" s="1125">
        <v>13</v>
      </c>
      <c r="P134" s="1164">
        <v>8700</v>
      </c>
      <c r="Q134" s="1164">
        <v>-8700</v>
      </c>
      <c r="R134" s="1164">
        <v>0</v>
      </c>
      <c r="S134" s="1164">
        <v>0</v>
      </c>
      <c r="T134" s="1164">
        <v>0</v>
      </c>
      <c r="U134" s="1164">
        <v>0</v>
      </c>
      <c r="V134" s="1164">
        <v>0</v>
      </c>
    </row>
    <row r="135" spans="1:22" s="1129" customFormat="1" x14ac:dyDescent="0.25">
      <c r="A135" s="1123">
        <v>4081800300</v>
      </c>
      <c r="B135" s="1125">
        <v>2</v>
      </c>
      <c r="C135" s="1125">
        <v>4</v>
      </c>
      <c r="D135" s="1127" t="s">
        <v>2211</v>
      </c>
      <c r="E135" s="1126" t="s">
        <v>2253</v>
      </c>
      <c r="F135" s="1127" t="s">
        <v>2252</v>
      </c>
      <c r="G135" s="1126" t="s">
        <v>753</v>
      </c>
      <c r="H135" s="1125">
        <v>1</v>
      </c>
      <c r="I135" s="1175" t="s">
        <v>1359</v>
      </c>
      <c r="J135" s="1126">
        <v>1</v>
      </c>
      <c r="K135" s="1125">
        <v>24</v>
      </c>
      <c r="L135" s="1125">
        <v>1</v>
      </c>
      <c r="M135" s="1125">
        <v>1</v>
      </c>
      <c r="N135" s="1126" t="s">
        <v>1259</v>
      </c>
      <c r="O135" s="1125">
        <v>13</v>
      </c>
      <c r="P135" s="1164">
        <v>55152</v>
      </c>
      <c r="Q135" s="1164">
        <v>-7288</v>
      </c>
      <c r="R135" s="1164">
        <v>47864</v>
      </c>
      <c r="S135" s="1164">
        <v>47864</v>
      </c>
      <c r="T135" s="1164">
        <v>47864</v>
      </c>
      <c r="U135" s="1164">
        <v>47864</v>
      </c>
      <c r="V135" s="1164">
        <v>47864</v>
      </c>
    </row>
    <row r="136" spans="1:22" s="1129" customFormat="1" x14ac:dyDescent="0.25">
      <c r="A136" s="1123">
        <v>4081800300</v>
      </c>
      <c r="B136" s="1125">
        <v>2</v>
      </c>
      <c r="C136" s="1125">
        <v>4</v>
      </c>
      <c r="D136" s="1127" t="s">
        <v>2211</v>
      </c>
      <c r="E136" s="1126" t="s">
        <v>2253</v>
      </c>
      <c r="F136" s="1127" t="s">
        <v>2252</v>
      </c>
      <c r="G136" s="1126" t="s">
        <v>753</v>
      </c>
      <c r="H136" s="1125">
        <v>1</v>
      </c>
      <c r="I136" s="1175" t="s">
        <v>1360</v>
      </c>
      <c r="J136" s="1126">
        <v>1</v>
      </c>
      <c r="K136" s="1125">
        <v>24</v>
      </c>
      <c r="L136" s="1125">
        <v>1</v>
      </c>
      <c r="M136" s="1125">
        <v>1</v>
      </c>
      <c r="N136" s="1126" t="s">
        <v>1259</v>
      </c>
      <c r="O136" s="1125">
        <v>13</v>
      </c>
      <c r="P136" s="1164">
        <v>60696</v>
      </c>
      <c r="Q136" s="1164">
        <v>-8044</v>
      </c>
      <c r="R136" s="1164">
        <v>52652</v>
      </c>
      <c r="S136" s="1164">
        <v>52652</v>
      </c>
      <c r="T136" s="1164">
        <v>52652</v>
      </c>
      <c r="U136" s="1164">
        <v>52652</v>
      </c>
      <c r="V136" s="1164">
        <v>52652</v>
      </c>
    </row>
    <row r="137" spans="1:22" s="1129" customFormat="1" x14ac:dyDescent="0.25">
      <c r="A137" s="1123">
        <v>4081800300</v>
      </c>
      <c r="B137" s="1125">
        <v>2</v>
      </c>
      <c r="C137" s="1125">
        <v>4</v>
      </c>
      <c r="D137" s="1127" t="s">
        <v>2211</v>
      </c>
      <c r="E137" s="1126" t="s">
        <v>2253</v>
      </c>
      <c r="F137" s="1127" t="s">
        <v>2252</v>
      </c>
      <c r="G137" s="1126" t="s">
        <v>753</v>
      </c>
      <c r="H137" s="1125">
        <v>1</v>
      </c>
      <c r="I137" s="1175" t="s">
        <v>2194</v>
      </c>
      <c r="J137" s="1126">
        <v>1</v>
      </c>
      <c r="K137" s="1125">
        <v>24</v>
      </c>
      <c r="L137" s="1125">
        <v>1</v>
      </c>
      <c r="M137" s="1125">
        <v>1</v>
      </c>
      <c r="N137" s="1126" t="s">
        <v>1259</v>
      </c>
      <c r="O137" s="1125">
        <v>13</v>
      </c>
      <c r="P137" s="1164">
        <v>7680</v>
      </c>
      <c r="Q137" s="1164">
        <v>-6180</v>
      </c>
      <c r="R137" s="1164">
        <v>1500</v>
      </c>
      <c r="S137" s="1164">
        <v>1500</v>
      </c>
      <c r="T137" s="1164">
        <v>1500</v>
      </c>
      <c r="U137" s="1164">
        <v>1500</v>
      </c>
      <c r="V137" s="1164">
        <v>1500</v>
      </c>
    </row>
    <row r="138" spans="1:22" s="1129" customFormat="1" x14ac:dyDescent="0.25">
      <c r="A138" s="1123">
        <v>4081800300</v>
      </c>
      <c r="B138" s="1125">
        <v>2</v>
      </c>
      <c r="C138" s="1125">
        <v>4</v>
      </c>
      <c r="D138" s="1127" t="s">
        <v>2211</v>
      </c>
      <c r="E138" s="1126" t="s">
        <v>2253</v>
      </c>
      <c r="F138" s="1127" t="s">
        <v>2252</v>
      </c>
      <c r="G138" s="1126" t="s">
        <v>753</v>
      </c>
      <c r="H138" s="1125">
        <v>1</v>
      </c>
      <c r="I138" s="1175" t="s">
        <v>2121</v>
      </c>
      <c r="J138" s="1126">
        <v>1</v>
      </c>
      <c r="K138" s="1125">
        <v>24</v>
      </c>
      <c r="L138" s="1125">
        <v>1</v>
      </c>
      <c r="M138" s="1125">
        <v>1</v>
      </c>
      <c r="N138" s="1126" t="s">
        <v>1259</v>
      </c>
      <c r="O138" s="1125">
        <v>13</v>
      </c>
      <c r="P138" s="1164">
        <v>4380</v>
      </c>
      <c r="Q138" s="1164">
        <v>-380</v>
      </c>
      <c r="R138" s="1164">
        <v>4000</v>
      </c>
      <c r="S138" s="1164">
        <v>4000</v>
      </c>
      <c r="T138" s="1164">
        <v>4000</v>
      </c>
      <c r="U138" s="1164">
        <v>4000</v>
      </c>
      <c r="V138" s="1164">
        <v>4000</v>
      </c>
    </row>
    <row r="139" spans="1:22" s="1129" customFormat="1" x14ac:dyDescent="0.25">
      <c r="A139" s="1123">
        <v>4081800300</v>
      </c>
      <c r="B139" s="1125">
        <v>2</v>
      </c>
      <c r="C139" s="1125">
        <v>4</v>
      </c>
      <c r="D139" s="1127" t="s">
        <v>2211</v>
      </c>
      <c r="E139" s="1126" t="s">
        <v>2253</v>
      </c>
      <c r="F139" s="1127" t="s">
        <v>2252</v>
      </c>
      <c r="G139" s="1126" t="s">
        <v>753</v>
      </c>
      <c r="H139" s="1125">
        <v>1</v>
      </c>
      <c r="I139" s="1175" t="s">
        <v>1362</v>
      </c>
      <c r="J139" s="1126">
        <v>1</v>
      </c>
      <c r="K139" s="1125">
        <v>24</v>
      </c>
      <c r="L139" s="1125">
        <v>1</v>
      </c>
      <c r="M139" s="1125">
        <v>1</v>
      </c>
      <c r="N139" s="1126" t="s">
        <v>1259</v>
      </c>
      <c r="O139" s="1125">
        <v>13</v>
      </c>
      <c r="P139" s="1164">
        <v>6000</v>
      </c>
      <c r="Q139" s="1164">
        <v>-4500</v>
      </c>
      <c r="R139" s="1164">
        <v>1500</v>
      </c>
      <c r="S139" s="1164">
        <v>1500</v>
      </c>
      <c r="T139" s="1164">
        <v>1500</v>
      </c>
      <c r="U139" s="1164">
        <v>1500</v>
      </c>
      <c r="V139" s="1164">
        <v>1500</v>
      </c>
    </row>
    <row r="140" spans="1:22" s="1129" customFormat="1" x14ac:dyDescent="0.25">
      <c r="A140" s="1123">
        <v>4081800300</v>
      </c>
      <c r="B140" s="1125">
        <v>2</v>
      </c>
      <c r="C140" s="1125">
        <v>4</v>
      </c>
      <c r="D140" s="1127" t="s">
        <v>2211</v>
      </c>
      <c r="E140" s="1126" t="s">
        <v>2253</v>
      </c>
      <c r="F140" s="1127" t="s">
        <v>2252</v>
      </c>
      <c r="G140" s="1126" t="s">
        <v>753</v>
      </c>
      <c r="H140" s="1125">
        <v>1</v>
      </c>
      <c r="I140" s="1175" t="s">
        <v>1363</v>
      </c>
      <c r="J140" s="1126">
        <v>1</v>
      </c>
      <c r="K140" s="1125">
        <v>24</v>
      </c>
      <c r="L140" s="1125">
        <v>1</v>
      </c>
      <c r="M140" s="1125">
        <v>1</v>
      </c>
      <c r="N140" s="1126" t="s">
        <v>1259</v>
      </c>
      <c r="O140" s="1125">
        <v>13</v>
      </c>
      <c r="P140" s="1164">
        <v>34344</v>
      </c>
      <c r="Q140" s="1164">
        <v>-3596</v>
      </c>
      <c r="R140" s="1164">
        <v>30748</v>
      </c>
      <c r="S140" s="1164">
        <v>30748</v>
      </c>
      <c r="T140" s="1164">
        <v>30748</v>
      </c>
      <c r="U140" s="1164">
        <v>30748</v>
      </c>
      <c r="V140" s="1164">
        <v>30748</v>
      </c>
    </row>
    <row r="141" spans="1:22" s="1129" customFormat="1" x14ac:dyDescent="0.25">
      <c r="A141" s="1123">
        <v>4081800300</v>
      </c>
      <c r="B141" s="1125">
        <v>2</v>
      </c>
      <c r="C141" s="1125">
        <v>4</v>
      </c>
      <c r="D141" s="1127" t="s">
        <v>2211</v>
      </c>
      <c r="E141" s="1126" t="s">
        <v>2253</v>
      </c>
      <c r="F141" s="1127" t="s">
        <v>2252</v>
      </c>
      <c r="G141" s="1126" t="s">
        <v>753</v>
      </c>
      <c r="H141" s="1125">
        <v>1</v>
      </c>
      <c r="I141" s="1175" t="s">
        <v>1364</v>
      </c>
      <c r="J141" s="1126">
        <v>1</v>
      </c>
      <c r="K141" s="1125">
        <v>24</v>
      </c>
      <c r="L141" s="1125">
        <v>1</v>
      </c>
      <c r="M141" s="1125">
        <v>1</v>
      </c>
      <c r="N141" s="1126" t="s">
        <v>1259</v>
      </c>
      <c r="O141" s="1125">
        <v>13</v>
      </c>
      <c r="P141" s="1164">
        <v>6780</v>
      </c>
      <c r="Q141" s="1164">
        <v>-6780</v>
      </c>
      <c r="R141" s="1164">
        <v>0</v>
      </c>
      <c r="S141" s="1164">
        <v>0</v>
      </c>
      <c r="T141" s="1164">
        <v>0</v>
      </c>
      <c r="U141" s="1164">
        <v>0</v>
      </c>
      <c r="V141" s="1164">
        <v>0</v>
      </c>
    </row>
    <row r="142" spans="1:22" s="1129" customFormat="1" x14ac:dyDescent="0.25">
      <c r="A142" s="1123">
        <v>4081800300</v>
      </c>
      <c r="B142" s="1125">
        <v>2</v>
      </c>
      <c r="C142" s="1125">
        <v>4</v>
      </c>
      <c r="D142" s="1127" t="s">
        <v>2211</v>
      </c>
      <c r="E142" s="1126" t="s">
        <v>2253</v>
      </c>
      <c r="F142" s="1127" t="s">
        <v>2252</v>
      </c>
      <c r="G142" s="1126" t="s">
        <v>753</v>
      </c>
      <c r="H142" s="1125">
        <v>1</v>
      </c>
      <c r="I142" s="1175" t="s">
        <v>2195</v>
      </c>
      <c r="J142" s="1126">
        <v>1</v>
      </c>
      <c r="K142" s="1125">
        <v>24</v>
      </c>
      <c r="L142" s="1125">
        <v>1</v>
      </c>
      <c r="M142" s="1125">
        <v>1</v>
      </c>
      <c r="N142" s="1126" t="s">
        <v>1259</v>
      </c>
      <c r="O142" s="1125">
        <v>13</v>
      </c>
      <c r="P142" s="1164">
        <v>12000</v>
      </c>
      <c r="Q142" s="1164">
        <v>-6600</v>
      </c>
      <c r="R142" s="1164">
        <v>5400</v>
      </c>
      <c r="S142" s="1164">
        <v>5400</v>
      </c>
      <c r="T142" s="1164">
        <v>5400</v>
      </c>
      <c r="U142" s="1164">
        <v>5400</v>
      </c>
      <c r="V142" s="1164">
        <v>5400</v>
      </c>
    </row>
    <row r="143" spans="1:22" s="1129" customFormat="1" x14ac:dyDescent="0.25">
      <c r="A143" s="1123">
        <v>4081800300</v>
      </c>
      <c r="B143" s="1125">
        <v>2</v>
      </c>
      <c r="C143" s="1125">
        <v>4</v>
      </c>
      <c r="D143" s="1127" t="s">
        <v>2211</v>
      </c>
      <c r="E143" s="1126" t="s">
        <v>2253</v>
      </c>
      <c r="F143" s="1127" t="s">
        <v>2252</v>
      </c>
      <c r="G143" s="1126" t="s">
        <v>753</v>
      </c>
      <c r="H143" s="1125">
        <v>1</v>
      </c>
      <c r="I143" s="1175" t="s">
        <v>1281</v>
      </c>
      <c r="J143" s="1126">
        <v>1</v>
      </c>
      <c r="K143" s="1125">
        <v>24</v>
      </c>
      <c r="L143" s="1125">
        <v>1</v>
      </c>
      <c r="M143" s="1125">
        <v>1</v>
      </c>
      <c r="N143" s="1126" t="s">
        <v>1259</v>
      </c>
      <c r="O143" s="1125">
        <v>13</v>
      </c>
      <c r="P143" s="1164">
        <v>143626.32</v>
      </c>
      <c r="Q143" s="1164">
        <v>54930.400000000001</v>
      </c>
      <c r="R143" s="1164">
        <v>198556.72</v>
      </c>
      <c r="S143" s="1164">
        <v>198556.72</v>
      </c>
      <c r="T143" s="1164">
        <v>198556.72</v>
      </c>
      <c r="U143" s="1164">
        <v>198556.72</v>
      </c>
      <c r="V143" s="1164">
        <v>198556.72</v>
      </c>
    </row>
    <row r="144" spans="1:22" s="1129" customFormat="1" x14ac:dyDescent="0.25">
      <c r="A144" s="1123">
        <v>4081800300</v>
      </c>
      <c r="B144" s="1125">
        <v>2</v>
      </c>
      <c r="C144" s="1125">
        <v>4</v>
      </c>
      <c r="D144" s="1127" t="s">
        <v>2211</v>
      </c>
      <c r="E144" s="1126" t="s">
        <v>2253</v>
      </c>
      <c r="F144" s="1127" t="s">
        <v>2252</v>
      </c>
      <c r="G144" s="1126" t="s">
        <v>753</v>
      </c>
      <c r="H144" s="1125">
        <v>1</v>
      </c>
      <c r="I144" s="1175" t="s">
        <v>1282</v>
      </c>
      <c r="J144" s="1126">
        <v>1</v>
      </c>
      <c r="K144" s="1125">
        <v>24</v>
      </c>
      <c r="L144" s="1125">
        <v>1</v>
      </c>
      <c r="M144" s="1125">
        <v>1</v>
      </c>
      <c r="N144" s="1126" t="s">
        <v>1259</v>
      </c>
      <c r="O144" s="1125">
        <v>13</v>
      </c>
      <c r="P144" s="1164">
        <v>256886.76</v>
      </c>
      <c r="Q144" s="1164">
        <v>-256886.76</v>
      </c>
      <c r="R144" s="1164">
        <v>0</v>
      </c>
      <c r="S144" s="1164">
        <v>0</v>
      </c>
      <c r="T144" s="1164">
        <v>0</v>
      </c>
      <c r="U144" s="1164">
        <v>0</v>
      </c>
      <c r="V144" s="1164">
        <v>0</v>
      </c>
    </row>
    <row r="145" spans="1:22" s="1129" customFormat="1" x14ac:dyDescent="0.25">
      <c r="A145" s="1123">
        <v>4081800300</v>
      </c>
      <c r="B145" s="1125">
        <v>2</v>
      </c>
      <c r="C145" s="1125">
        <v>4</v>
      </c>
      <c r="D145" s="1127" t="s">
        <v>2211</v>
      </c>
      <c r="E145" s="1126" t="s">
        <v>2253</v>
      </c>
      <c r="F145" s="1127" t="s">
        <v>2252</v>
      </c>
      <c r="G145" s="1126" t="s">
        <v>753</v>
      </c>
      <c r="H145" s="1125">
        <v>1</v>
      </c>
      <c r="I145" s="1175" t="s">
        <v>1283</v>
      </c>
      <c r="J145" s="1126">
        <v>1</v>
      </c>
      <c r="K145" s="1125">
        <v>24</v>
      </c>
      <c r="L145" s="1125">
        <v>1</v>
      </c>
      <c r="M145" s="1125">
        <v>1</v>
      </c>
      <c r="N145" s="1126" t="s">
        <v>1259</v>
      </c>
      <c r="O145" s="1125">
        <v>13</v>
      </c>
      <c r="P145" s="1164">
        <v>144000</v>
      </c>
      <c r="Q145" s="1164">
        <v>-25000</v>
      </c>
      <c r="R145" s="1164">
        <v>119000</v>
      </c>
      <c r="S145" s="1164">
        <v>119000</v>
      </c>
      <c r="T145" s="1164">
        <v>119000</v>
      </c>
      <c r="U145" s="1164">
        <v>119000</v>
      </c>
      <c r="V145" s="1164">
        <v>119000</v>
      </c>
    </row>
    <row r="146" spans="1:22" s="1129" customFormat="1" x14ac:dyDescent="0.25">
      <c r="A146" s="1123">
        <v>4081800300</v>
      </c>
      <c r="B146" s="1125">
        <v>2</v>
      </c>
      <c r="C146" s="1125">
        <v>4</v>
      </c>
      <c r="D146" s="1127" t="s">
        <v>2211</v>
      </c>
      <c r="E146" s="1126" t="s">
        <v>2253</v>
      </c>
      <c r="F146" s="1127" t="s">
        <v>2252</v>
      </c>
      <c r="G146" s="1126" t="s">
        <v>753</v>
      </c>
      <c r="H146" s="1125">
        <v>1</v>
      </c>
      <c r="I146" s="1175" t="s">
        <v>1382</v>
      </c>
      <c r="J146" s="1126">
        <v>1</v>
      </c>
      <c r="K146" s="1125">
        <v>24</v>
      </c>
      <c r="L146" s="1125">
        <v>1</v>
      </c>
      <c r="M146" s="1125">
        <v>1</v>
      </c>
      <c r="N146" s="1126" t="s">
        <v>1259</v>
      </c>
      <c r="O146" s="1125">
        <v>13</v>
      </c>
      <c r="P146" s="1164">
        <v>21120</v>
      </c>
      <c r="Q146" s="1164">
        <v>-12320</v>
      </c>
      <c r="R146" s="1164">
        <v>8800</v>
      </c>
      <c r="S146" s="1164">
        <v>8800</v>
      </c>
      <c r="T146" s="1164">
        <v>8800</v>
      </c>
      <c r="U146" s="1164">
        <v>8800</v>
      </c>
      <c r="V146" s="1164">
        <v>8800</v>
      </c>
    </row>
    <row r="147" spans="1:22" s="1129" customFormat="1" x14ac:dyDescent="0.25">
      <c r="A147" s="1123">
        <v>4081800300</v>
      </c>
      <c r="B147" s="1125">
        <v>2</v>
      </c>
      <c r="C147" s="1125">
        <v>4</v>
      </c>
      <c r="D147" s="1127" t="s">
        <v>2211</v>
      </c>
      <c r="E147" s="1126" t="s">
        <v>2253</v>
      </c>
      <c r="F147" s="1127" t="s">
        <v>2252</v>
      </c>
      <c r="G147" s="1126" t="s">
        <v>753</v>
      </c>
      <c r="H147" s="1125">
        <v>1</v>
      </c>
      <c r="I147" s="1175" t="s">
        <v>1365</v>
      </c>
      <c r="J147" s="1126">
        <v>1</v>
      </c>
      <c r="K147" s="1125">
        <v>24</v>
      </c>
      <c r="L147" s="1125">
        <v>1</v>
      </c>
      <c r="M147" s="1125">
        <v>1</v>
      </c>
      <c r="N147" s="1126" t="s">
        <v>1259</v>
      </c>
      <c r="O147" s="1125">
        <v>13</v>
      </c>
      <c r="P147" s="1164">
        <v>56832.959999999999</v>
      </c>
      <c r="Q147" s="1164">
        <v>-16888.240000000002</v>
      </c>
      <c r="R147" s="1164">
        <v>39944.720000000001</v>
      </c>
      <c r="S147" s="1164">
        <v>39944.720000000001</v>
      </c>
      <c r="T147" s="1164">
        <v>39944.720000000001</v>
      </c>
      <c r="U147" s="1164">
        <v>39944.720000000001</v>
      </c>
      <c r="V147" s="1164">
        <v>39944.720000000001</v>
      </c>
    </row>
    <row r="148" spans="1:22" s="1129" customFormat="1" x14ac:dyDescent="0.25">
      <c r="A148" s="1123">
        <v>4081800300</v>
      </c>
      <c r="B148" s="1125">
        <v>2</v>
      </c>
      <c r="C148" s="1125">
        <v>4</v>
      </c>
      <c r="D148" s="1127" t="s">
        <v>2211</v>
      </c>
      <c r="E148" s="1126" t="s">
        <v>2253</v>
      </c>
      <c r="F148" s="1127" t="s">
        <v>2252</v>
      </c>
      <c r="G148" s="1126" t="s">
        <v>753</v>
      </c>
      <c r="H148" s="1125">
        <v>1</v>
      </c>
      <c r="I148" s="1175" t="s">
        <v>1284</v>
      </c>
      <c r="J148" s="1126">
        <v>1</v>
      </c>
      <c r="K148" s="1125">
        <v>24</v>
      </c>
      <c r="L148" s="1125">
        <v>1</v>
      </c>
      <c r="M148" s="1125">
        <v>1</v>
      </c>
      <c r="N148" s="1126" t="s">
        <v>1259</v>
      </c>
      <c r="O148" s="1125">
        <v>13</v>
      </c>
      <c r="P148" s="1164">
        <v>16000</v>
      </c>
      <c r="Q148" s="1164">
        <v>-16000</v>
      </c>
      <c r="R148" s="1164">
        <v>0</v>
      </c>
      <c r="S148" s="1164">
        <v>0</v>
      </c>
      <c r="T148" s="1164">
        <v>0</v>
      </c>
      <c r="U148" s="1164">
        <v>0</v>
      </c>
      <c r="V148" s="1164">
        <v>0</v>
      </c>
    </row>
    <row r="149" spans="1:22" s="1129" customFormat="1" x14ac:dyDescent="0.25">
      <c r="A149" s="1123">
        <v>4081800300</v>
      </c>
      <c r="B149" s="1125">
        <v>2</v>
      </c>
      <c r="C149" s="1125">
        <v>4</v>
      </c>
      <c r="D149" s="1127" t="s">
        <v>2211</v>
      </c>
      <c r="E149" s="1126" t="s">
        <v>2253</v>
      </c>
      <c r="F149" s="1127" t="s">
        <v>2252</v>
      </c>
      <c r="G149" s="1126" t="s">
        <v>753</v>
      </c>
      <c r="H149" s="1125">
        <v>1</v>
      </c>
      <c r="I149" s="1175" t="s">
        <v>1285</v>
      </c>
      <c r="J149" s="1126">
        <v>1</v>
      </c>
      <c r="K149" s="1125">
        <v>24</v>
      </c>
      <c r="L149" s="1125">
        <v>1</v>
      </c>
      <c r="M149" s="1125">
        <v>1</v>
      </c>
      <c r="N149" s="1126" t="s">
        <v>1259</v>
      </c>
      <c r="O149" s="1125">
        <v>13</v>
      </c>
      <c r="P149" s="1164">
        <v>18000</v>
      </c>
      <c r="Q149" s="1164">
        <v>-18000</v>
      </c>
      <c r="R149" s="1164">
        <v>0</v>
      </c>
      <c r="S149" s="1164">
        <v>0</v>
      </c>
      <c r="T149" s="1164">
        <v>0</v>
      </c>
      <c r="U149" s="1164">
        <v>0</v>
      </c>
      <c r="V149" s="1164">
        <v>0</v>
      </c>
    </row>
    <row r="150" spans="1:22" s="1129" customFormat="1" x14ac:dyDescent="0.25">
      <c r="A150" s="1123">
        <v>4081800300</v>
      </c>
      <c r="B150" s="1125">
        <v>2</v>
      </c>
      <c r="C150" s="1125">
        <v>4</v>
      </c>
      <c r="D150" s="1127" t="s">
        <v>2211</v>
      </c>
      <c r="E150" s="1126" t="s">
        <v>2253</v>
      </c>
      <c r="F150" s="1127" t="s">
        <v>2252</v>
      </c>
      <c r="G150" s="1126" t="s">
        <v>753</v>
      </c>
      <c r="H150" s="1125">
        <v>1</v>
      </c>
      <c r="I150" s="1175" t="s">
        <v>1291</v>
      </c>
      <c r="J150" s="1126">
        <v>1</v>
      </c>
      <c r="K150" s="1125">
        <v>24</v>
      </c>
      <c r="L150" s="1125">
        <v>1</v>
      </c>
      <c r="M150" s="1125">
        <v>1</v>
      </c>
      <c r="N150" s="1126" t="s">
        <v>1259</v>
      </c>
      <c r="O150" s="1125">
        <v>13</v>
      </c>
      <c r="P150" s="1164">
        <v>26000</v>
      </c>
      <c r="Q150" s="1164">
        <v>-14618.28</v>
      </c>
      <c r="R150" s="1164">
        <v>11381.72</v>
      </c>
      <c r="S150" s="1164">
        <v>11381.72</v>
      </c>
      <c r="T150" s="1164">
        <v>11381.72</v>
      </c>
      <c r="U150" s="1164">
        <v>11381.72</v>
      </c>
      <c r="V150" s="1164">
        <v>11381.72</v>
      </c>
    </row>
    <row r="151" spans="1:22" s="1129" customFormat="1" x14ac:dyDescent="0.25">
      <c r="A151" s="1123">
        <v>4081800300</v>
      </c>
      <c r="B151" s="1125">
        <v>2</v>
      </c>
      <c r="C151" s="1125">
        <v>4</v>
      </c>
      <c r="D151" s="1127" t="s">
        <v>2211</v>
      </c>
      <c r="E151" s="1126" t="s">
        <v>2253</v>
      </c>
      <c r="F151" s="1127" t="s">
        <v>2252</v>
      </c>
      <c r="G151" s="1126" t="s">
        <v>753</v>
      </c>
      <c r="H151" s="1125">
        <v>1</v>
      </c>
      <c r="I151" s="1175" t="s">
        <v>1296</v>
      </c>
      <c r="J151" s="1126">
        <v>1</v>
      </c>
      <c r="K151" s="1125">
        <v>24</v>
      </c>
      <c r="L151" s="1125">
        <v>1</v>
      </c>
      <c r="M151" s="1125">
        <v>1</v>
      </c>
      <c r="N151" s="1126" t="s">
        <v>1259</v>
      </c>
      <c r="O151" s="1125">
        <v>13</v>
      </c>
      <c r="P151" s="1164">
        <v>0</v>
      </c>
      <c r="Q151" s="1164">
        <v>11622</v>
      </c>
      <c r="R151" s="1164">
        <v>11622</v>
      </c>
      <c r="S151" s="1164">
        <v>11622</v>
      </c>
      <c r="T151" s="1164">
        <v>11622</v>
      </c>
      <c r="U151" s="1164">
        <v>11622</v>
      </c>
      <c r="V151" s="1164">
        <v>11622</v>
      </c>
    </row>
    <row r="152" spans="1:22" s="1129" customFormat="1" x14ac:dyDescent="0.25">
      <c r="A152" s="1123">
        <v>4081800300</v>
      </c>
      <c r="B152" s="1125">
        <v>2</v>
      </c>
      <c r="C152" s="1125">
        <v>4</v>
      </c>
      <c r="D152" s="1127" t="s">
        <v>2211</v>
      </c>
      <c r="E152" s="1126" t="s">
        <v>2253</v>
      </c>
      <c r="F152" s="1127" t="s">
        <v>2252</v>
      </c>
      <c r="G152" s="1126" t="s">
        <v>753</v>
      </c>
      <c r="H152" s="1125">
        <v>1</v>
      </c>
      <c r="I152" s="1175" t="s">
        <v>1302</v>
      </c>
      <c r="J152" s="1126">
        <v>1</v>
      </c>
      <c r="K152" s="1125">
        <v>24</v>
      </c>
      <c r="L152" s="1125">
        <v>1</v>
      </c>
      <c r="M152" s="1125">
        <v>1</v>
      </c>
      <c r="N152" s="1126" t="s">
        <v>1259</v>
      </c>
      <c r="O152" s="1125">
        <v>13</v>
      </c>
      <c r="P152" s="1164">
        <v>150000</v>
      </c>
      <c r="Q152" s="1164">
        <v>-99455.34</v>
      </c>
      <c r="R152" s="1164">
        <v>50544.66</v>
      </c>
      <c r="S152" s="1164">
        <v>50544.66</v>
      </c>
      <c r="T152" s="1164">
        <v>50544.66</v>
      </c>
      <c r="U152" s="1164">
        <v>50544.66</v>
      </c>
      <c r="V152" s="1164">
        <v>50544.66</v>
      </c>
    </row>
    <row r="153" spans="1:22" s="1129" customFormat="1" x14ac:dyDescent="0.25">
      <c r="A153" s="1123">
        <v>4081800300</v>
      </c>
      <c r="B153" s="1125">
        <v>2</v>
      </c>
      <c r="C153" s="1125">
        <v>4</v>
      </c>
      <c r="D153" s="1127" t="s">
        <v>2211</v>
      </c>
      <c r="E153" s="1126" t="s">
        <v>2253</v>
      </c>
      <c r="F153" s="1125">
        <v>287</v>
      </c>
      <c r="G153" s="1126" t="s">
        <v>753</v>
      </c>
      <c r="H153" s="1125">
        <v>1</v>
      </c>
      <c r="I153" s="1175" t="s">
        <v>1310</v>
      </c>
      <c r="J153" s="1126">
        <v>1</v>
      </c>
      <c r="K153" s="1125">
        <v>24</v>
      </c>
      <c r="L153" s="1125">
        <v>1</v>
      </c>
      <c r="M153" s="1125">
        <v>1</v>
      </c>
      <c r="N153" s="1126" t="s">
        <v>1259</v>
      </c>
      <c r="O153" s="1125">
        <v>13</v>
      </c>
      <c r="P153" s="1164">
        <v>24000</v>
      </c>
      <c r="Q153" s="1164">
        <v>7506</v>
      </c>
      <c r="R153" s="1164">
        <v>31506</v>
      </c>
      <c r="S153" s="1164">
        <v>31506</v>
      </c>
      <c r="T153" s="1164">
        <v>31506</v>
      </c>
      <c r="U153" s="1164">
        <v>31506</v>
      </c>
      <c r="V153" s="1164">
        <v>31506</v>
      </c>
    </row>
    <row r="154" spans="1:22" s="1129" customFormat="1" x14ac:dyDescent="0.25">
      <c r="A154" s="1123">
        <v>4081800300</v>
      </c>
      <c r="B154" s="1125">
        <v>2</v>
      </c>
      <c r="C154" s="1125">
        <v>4</v>
      </c>
      <c r="D154" s="1127" t="s">
        <v>2211</v>
      </c>
      <c r="E154" s="1126" t="s">
        <v>2253</v>
      </c>
      <c r="F154" s="1125">
        <v>287</v>
      </c>
      <c r="G154" s="1126" t="s">
        <v>753</v>
      </c>
      <c r="H154" s="1125">
        <v>1</v>
      </c>
      <c r="I154" s="1175" t="s">
        <v>1311</v>
      </c>
      <c r="J154" s="1126">
        <v>1</v>
      </c>
      <c r="K154" s="1125">
        <v>24</v>
      </c>
      <c r="L154" s="1125">
        <v>1</v>
      </c>
      <c r="M154" s="1125">
        <v>1</v>
      </c>
      <c r="N154" s="1126" t="s">
        <v>1259</v>
      </c>
      <c r="O154" s="1125">
        <v>13</v>
      </c>
      <c r="P154" s="1164">
        <v>10400</v>
      </c>
      <c r="Q154" s="1164">
        <v>-7200</v>
      </c>
      <c r="R154" s="1164">
        <v>3200</v>
      </c>
      <c r="S154" s="1164">
        <v>3200</v>
      </c>
      <c r="T154" s="1164">
        <v>3200</v>
      </c>
      <c r="U154" s="1164">
        <v>3200</v>
      </c>
      <c r="V154" s="1164">
        <v>3200</v>
      </c>
    </row>
    <row r="155" spans="1:22" s="1129" customFormat="1" x14ac:dyDescent="0.25">
      <c r="A155" s="1123">
        <v>4081800300</v>
      </c>
      <c r="B155" s="1125">
        <v>2</v>
      </c>
      <c r="C155" s="1125">
        <v>4</v>
      </c>
      <c r="D155" s="1127" t="s">
        <v>2211</v>
      </c>
      <c r="E155" s="1126" t="s">
        <v>2253</v>
      </c>
      <c r="F155" s="1125">
        <v>287</v>
      </c>
      <c r="G155" s="1126" t="s">
        <v>753</v>
      </c>
      <c r="H155" s="1125">
        <v>1</v>
      </c>
      <c r="I155" s="1175" t="s">
        <v>1312</v>
      </c>
      <c r="J155" s="1126">
        <v>1</v>
      </c>
      <c r="K155" s="1125">
        <v>24</v>
      </c>
      <c r="L155" s="1125">
        <v>1</v>
      </c>
      <c r="M155" s="1125">
        <v>1</v>
      </c>
      <c r="N155" s="1126" t="s">
        <v>1259</v>
      </c>
      <c r="O155" s="1125">
        <v>13</v>
      </c>
      <c r="P155" s="1164">
        <v>3000</v>
      </c>
      <c r="Q155" s="1164">
        <v>-3000</v>
      </c>
      <c r="R155" s="1164">
        <v>0</v>
      </c>
      <c r="S155" s="1164">
        <v>0</v>
      </c>
      <c r="T155" s="1164">
        <v>0</v>
      </c>
      <c r="U155" s="1164">
        <v>0</v>
      </c>
      <c r="V155" s="1164">
        <v>0</v>
      </c>
    </row>
    <row r="156" spans="1:22" s="1129" customFormat="1" x14ac:dyDescent="0.25">
      <c r="A156" s="1123">
        <v>4081800400</v>
      </c>
      <c r="B156" s="1125">
        <v>2</v>
      </c>
      <c r="C156" s="1125">
        <v>4</v>
      </c>
      <c r="D156" s="1127" t="s">
        <v>2211</v>
      </c>
      <c r="E156" s="1126" t="s">
        <v>2253</v>
      </c>
      <c r="F156" s="1125">
        <v>287</v>
      </c>
      <c r="G156" s="1126" t="s">
        <v>753</v>
      </c>
      <c r="H156" s="1125">
        <v>1</v>
      </c>
      <c r="I156" s="1175" t="s">
        <v>1260</v>
      </c>
      <c r="J156" s="1126">
        <v>1</v>
      </c>
      <c r="K156" s="1125">
        <v>24</v>
      </c>
      <c r="L156" s="1125">
        <v>1</v>
      </c>
      <c r="M156" s="1125">
        <v>1</v>
      </c>
      <c r="N156" s="1126" t="s">
        <v>1259</v>
      </c>
      <c r="O156" s="1125">
        <v>13</v>
      </c>
      <c r="P156" s="1164">
        <v>1007814.72</v>
      </c>
      <c r="Q156" s="1164">
        <v>-63840.76</v>
      </c>
      <c r="R156" s="1164">
        <v>943973.96</v>
      </c>
      <c r="S156" s="1164">
        <v>943973.96</v>
      </c>
      <c r="T156" s="1164">
        <v>943973.96</v>
      </c>
      <c r="U156" s="1164">
        <v>943973.96</v>
      </c>
      <c r="V156" s="1164">
        <v>943973.96</v>
      </c>
    </row>
    <row r="157" spans="1:22" s="1129" customFormat="1" x14ac:dyDescent="0.25">
      <c r="A157" s="1123">
        <v>4081800400</v>
      </c>
      <c r="B157" s="1125">
        <v>2</v>
      </c>
      <c r="C157" s="1125">
        <v>4</v>
      </c>
      <c r="D157" s="1127" t="s">
        <v>2211</v>
      </c>
      <c r="E157" s="1126" t="s">
        <v>2253</v>
      </c>
      <c r="F157" s="1125">
        <v>287</v>
      </c>
      <c r="G157" s="1126" t="s">
        <v>753</v>
      </c>
      <c r="H157" s="1125">
        <v>1</v>
      </c>
      <c r="I157" s="1175" t="s">
        <v>1261</v>
      </c>
      <c r="J157" s="1126">
        <v>1</v>
      </c>
      <c r="K157" s="1125">
        <v>24</v>
      </c>
      <c r="L157" s="1125">
        <v>1</v>
      </c>
      <c r="M157" s="1125">
        <v>1</v>
      </c>
      <c r="N157" s="1126" t="s">
        <v>1259</v>
      </c>
      <c r="O157" s="1125">
        <v>13</v>
      </c>
      <c r="P157" s="1164">
        <v>14400</v>
      </c>
      <c r="Q157" s="1164">
        <v>-2120</v>
      </c>
      <c r="R157" s="1164">
        <v>12280</v>
      </c>
      <c r="S157" s="1164">
        <v>12280</v>
      </c>
      <c r="T157" s="1164">
        <v>12280</v>
      </c>
      <c r="U157" s="1164">
        <v>12280</v>
      </c>
      <c r="V157" s="1164">
        <v>12280</v>
      </c>
    </row>
    <row r="158" spans="1:22" s="1129" customFormat="1" x14ac:dyDescent="0.25">
      <c r="A158" s="1123">
        <v>4081800400</v>
      </c>
      <c r="B158" s="1125">
        <v>2</v>
      </c>
      <c r="C158" s="1125">
        <v>4</v>
      </c>
      <c r="D158" s="1127" t="s">
        <v>2211</v>
      </c>
      <c r="E158" s="1126" t="s">
        <v>2253</v>
      </c>
      <c r="F158" s="1125">
        <v>287</v>
      </c>
      <c r="G158" s="1126" t="s">
        <v>753</v>
      </c>
      <c r="H158" s="1125">
        <v>1</v>
      </c>
      <c r="I158" s="1175" t="s">
        <v>1262</v>
      </c>
      <c r="J158" s="1126">
        <v>1</v>
      </c>
      <c r="K158" s="1125">
        <v>24</v>
      </c>
      <c r="L158" s="1125">
        <v>1</v>
      </c>
      <c r="M158" s="1125">
        <v>1</v>
      </c>
      <c r="N158" s="1126" t="s">
        <v>1259</v>
      </c>
      <c r="O158" s="1125">
        <v>13</v>
      </c>
      <c r="P158" s="1164">
        <v>27327.360000000001</v>
      </c>
      <c r="Q158" s="1164">
        <v>-16575.8</v>
      </c>
      <c r="R158" s="1164">
        <v>10751.56</v>
      </c>
      <c r="S158" s="1164">
        <v>10751.56</v>
      </c>
      <c r="T158" s="1164">
        <v>10751.56</v>
      </c>
      <c r="U158" s="1164">
        <v>10751.56</v>
      </c>
      <c r="V158" s="1164">
        <v>10751.56</v>
      </c>
    </row>
    <row r="159" spans="1:22" s="1129" customFormat="1" x14ac:dyDescent="0.25">
      <c r="A159" s="1123">
        <v>4081800400</v>
      </c>
      <c r="B159" s="1125">
        <v>2</v>
      </c>
      <c r="C159" s="1125">
        <v>4</v>
      </c>
      <c r="D159" s="1127" t="s">
        <v>2211</v>
      </c>
      <c r="E159" s="1126" t="s">
        <v>2253</v>
      </c>
      <c r="F159" s="1125">
        <v>287</v>
      </c>
      <c r="G159" s="1126" t="s">
        <v>753</v>
      </c>
      <c r="H159" s="1125">
        <v>1</v>
      </c>
      <c r="I159" s="1175" t="s">
        <v>1263</v>
      </c>
      <c r="J159" s="1126">
        <v>1</v>
      </c>
      <c r="K159" s="1125">
        <v>24</v>
      </c>
      <c r="L159" s="1125">
        <v>1</v>
      </c>
      <c r="M159" s="1125">
        <v>1</v>
      </c>
      <c r="N159" s="1126" t="s">
        <v>1259</v>
      </c>
      <c r="O159" s="1125">
        <v>13</v>
      </c>
      <c r="P159" s="1164">
        <v>267408.71999999997</v>
      </c>
      <c r="Q159" s="1164">
        <v>-17550.830000000002</v>
      </c>
      <c r="R159" s="1164">
        <v>249857.89</v>
      </c>
      <c r="S159" s="1164">
        <v>249857.89</v>
      </c>
      <c r="T159" s="1164">
        <v>249857.89</v>
      </c>
      <c r="U159" s="1164">
        <v>249857.89</v>
      </c>
      <c r="V159" s="1164">
        <v>249857.89</v>
      </c>
    </row>
    <row r="160" spans="1:22" s="1129" customFormat="1" x14ac:dyDescent="0.25">
      <c r="A160" s="1123">
        <v>4081800400</v>
      </c>
      <c r="B160" s="1125">
        <v>2</v>
      </c>
      <c r="C160" s="1125">
        <v>4</v>
      </c>
      <c r="D160" s="1127" t="s">
        <v>2211</v>
      </c>
      <c r="E160" s="1126" t="s">
        <v>2253</v>
      </c>
      <c r="F160" s="1125">
        <v>287</v>
      </c>
      <c r="G160" s="1126" t="s">
        <v>753</v>
      </c>
      <c r="H160" s="1125">
        <v>1</v>
      </c>
      <c r="I160" s="1175" t="s">
        <v>1264</v>
      </c>
      <c r="J160" s="1126">
        <v>1</v>
      </c>
      <c r="K160" s="1125">
        <v>24</v>
      </c>
      <c r="L160" s="1125">
        <v>1</v>
      </c>
      <c r="M160" s="1125">
        <v>1</v>
      </c>
      <c r="N160" s="1126" t="s">
        <v>1259</v>
      </c>
      <c r="O160" s="1125">
        <v>13</v>
      </c>
      <c r="P160" s="1164">
        <v>74694.48</v>
      </c>
      <c r="Q160" s="1164">
        <v>-54976.14</v>
      </c>
      <c r="R160" s="1164">
        <v>19718.34</v>
      </c>
      <c r="S160" s="1164">
        <v>19718.34</v>
      </c>
      <c r="T160" s="1164">
        <v>19718.34</v>
      </c>
      <c r="U160" s="1164">
        <v>19718.34</v>
      </c>
      <c r="V160" s="1164">
        <v>19718.34</v>
      </c>
    </row>
    <row r="161" spans="1:22" s="1129" customFormat="1" x14ac:dyDescent="0.25">
      <c r="A161" s="1123">
        <v>4081800400</v>
      </c>
      <c r="B161" s="1125">
        <v>2</v>
      </c>
      <c r="C161" s="1125">
        <v>4</v>
      </c>
      <c r="D161" s="1127" t="s">
        <v>2211</v>
      </c>
      <c r="E161" s="1126" t="s">
        <v>2253</v>
      </c>
      <c r="F161" s="1125">
        <v>287</v>
      </c>
      <c r="G161" s="1126" t="s">
        <v>753</v>
      </c>
      <c r="H161" s="1125">
        <v>1</v>
      </c>
      <c r="I161" s="1175" t="s">
        <v>1265</v>
      </c>
      <c r="J161" s="1126">
        <v>1</v>
      </c>
      <c r="K161" s="1125">
        <v>24</v>
      </c>
      <c r="L161" s="1125">
        <v>1</v>
      </c>
      <c r="M161" s="1125">
        <v>1</v>
      </c>
      <c r="N161" s="1126" t="s">
        <v>1259</v>
      </c>
      <c r="O161" s="1125">
        <v>13</v>
      </c>
      <c r="P161" s="1164">
        <v>80185.850000000006</v>
      </c>
      <c r="Q161" s="1164">
        <v>-5129.2</v>
      </c>
      <c r="R161" s="1164">
        <v>75056.649999999994</v>
      </c>
      <c r="S161" s="1164">
        <v>75056.649999999994</v>
      </c>
      <c r="T161" s="1164">
        <v>75056.649999999994</v>
      </c>
      <c r="U161" s="1164">
        <v>75056.649999999994</v>
      </c>
      <c r="V161" s="1164">
        <v>75056.649999999994</v>
      </c>
    </row>
    <row r="162" spans="1:22" s="1129" customFormat="1" x14ac:dyDescent="0.25">
      <c r="A162" s="1123">
        <v>4081800400</v>
      </c>
      <c r="B162" s="1125">
        <v>2</v>
      </c>
      <c r="C162" s="1125">
        <v>4</v>
      </c>
      <c r="D162" s="1127" t="s">
        <v>2211</v>
      </c>
      <c r="E162" s="1126" t="s">
        <v>2253</v>
      </c>
      <c r="F162" s="1125">
        <v>287</v>
      </c>
      <c r="G162" s="1126" t="s">
        <v>753</v>
      </c>
      <c r="H162" s="1125">
        <v>1</v>
      </c>
      <c r="I162" s="1175" t="s">
        <v>1266</v>
      </c>
      <c r="J162" s="1126">
        <v>1</v>
      </c>
      <c r="K162" s="1125">
        <v>24</v>
      </c>
      <c r="L162" s="1125">
        <v>1</v>
      </c>
      <c r="M162" s="1125">
        <v>1</v>
      </c>
      <c r="N162" s="1126" t="s">
        <v>1259</v>
      </c>
      <c r="O162" s="1125">
        <v>13</v>
      </c>
      <c r="P162" s="1164">
        <v>167705.04</v>
      </c>
      <c r="Q162" s="1164">
        <v>24319.26</v>
      </c>
      <c r="R162" s="1164">
        <v>192024.3</v>
      </c>
      <c r="S162" s="1164">
        <v>192024.3</v>
      </c>
      <c r="T162" s="1164">
        <v>192024.3</v>
      </c>
      <c r="U162" s="1164">
        <v>192024.3</v>
      </c>
      <c r="V162" s="1164">
        <v>192024.3</v>
      </c>
    </row>
    <row r="163" spans="1:22" s="1129" customFormat="1" x14ac:dyDescent="0.25">
      <c r="A163" s="1123">
        <v>4081800400</v>
      </c>
      <c r="B163" s="1125">
        <v>2</v>
      </c>
      <c r="C163" s="1125">
        <v>4</v>
      </c>
      <c r="D163" s="1127" t="s">
        <v>2211</v>
      </c>
      <c r="E163" s="1126" t="s">
        <v>2253</v>
      </c>
      <c r="F163" s="1125">
        <v>287</v>
      </c>
      <c r="G163" s="1126" t="s">
        <v>753</v>
      </c>
      <c r="H163" s="1125">
        <v>1</v>
      </c>
      <c r="I163" s="1175" t="s">
        <v>2119</v>
      </c>
      <c r="J163" s="1126">
        <v>1</v>
      </c>
      <c r="K163" s="1125">
        <v>24</v>
      </c>
      <c r="L163" s="1125">
        <v>1</v>
      </c>
      <c r="M163" s="1125">
        <v>1</v>
      </c>
      <c r="N163" s="1126" t="s">
        <v>1259</v>
      </c>
      <c r="O163" s="1125">
        <v>13</v>
      </c>
      <c r="P163" s="1164">
        <v>20046.46</v>
      </c>
      <c r="Q163" s="1164">
        <v>-2972.77</v>
      </c>
      <c r="R163" s="1164">
        <v>17073.689999999999</v>
      </c>
      <c r="S163" s="1164">
        <v>17073.689999999999</v>
      </c>
      <c r="T163" s="1164">
        <v>17073.689999999999</v>
      </c>
      <c r="U163" s="1164">
        <v>17073.689999999999</v>
      </c>
      <c r="V163" s="1164">
        <v>17073.689999999999</v>
      </c>
    </row>
    <row r="164" spans="1:22" s="1129" customFormat="1" x14ac:dyDescent="0.25">
      <c r="A164" s="1123">
        <v>4081800400</v>
      </c>
      <c r="B164" s="1125">
        <v>2</v>
      </c>
      <c r="C164" s="1125">
        <v>4</v>
      </c>
      <c r="D164" s="1127" t="s">
        <v>2211</v>
      </c>
      <c r="E164" s="1126" t="s">
        <v>2253</v>
      </c>
      <c r="F164" s="1125">
        <v>287</v>
      </c>
      <c r="G164" s="1126" t="s">
        <v>753</v>
      </c>
      <c r="H164" s="1125">
        <v>1</v>
      </c>
      <c r="I164" s="1175" t="s">
        <v>2120</v>
      </c>
      <c r="J164" s="1126">
        <v>1</v>
      </c>
      <c r="K164" s="1125">
        <v>24</v>
      </c>
      <c r="L164" s="1125">
        <v>1</v>
      </c>
      <c r="M164" s="1125">
        <v>1</v>
      </c>
      <c r="N164" s="1126" t="s">
        <v>1259</v>
      </c>
      <c r="O164" s="1125">
        <v>13</v>
      </c>
      <c r="P164" s="1164">
        <v>20046.46</v>
      </c>
      <c r="Q164" s="1164">
        <v>-2972.77</v>
      </c>
      <c r="R164" s="1164">
        <v>17073.689999999999</v>
      </c>
      <c r="S164" s="1164">
        <v>17073.689999999999</v>
      </c>
      <c r="T164" s="1164">
        <v>17073.689999999999</v>
      </c>
      <c r="U164" s="1164">
        <v>17073.689999999999</v>
      </c>
      <c r="V164" s="1164">
        <v>17073.689999999999</v>
      </c>
    </row>
    <row r="165" spans="1:22" s="1129" customFormat="1" x14ac:dyDescent="0.25">
      <c r="A165" s="1123">
        <v>4081800400</v>
      </c>
      <c r="B165" s="1125">
        <v>2</v>
      </c>
      <c r="C165" s="1125">
        <v>4</v>
      </c>
      <c r="D165" s="1127" t="s">
        <v>2211</v>
      </c>
      <c r="E165" s="1126" t="s">
        <v>2253</v>
      </c>
      <c r="F165" s="1125">
        <v>287</v>
      </c>
      <c r="G165" s="1126" t="s">
        <v>753</v>
      </c>
      <c r="H165" s="1125">
        <v>1</v>
      </c>
      <c r="I165" s="1175" t="s">
        <v>1267</v>
      </c>
      <c r="J165" s="1126">
        <v>1</v>
      </c>
      <c r="K165" s="1125">
        <v>24</v>
      </c>
      <c r="L165" s="1125">
        <v>1</v>
      </c>
      <c r="M165" s="1125">
        <v>1</v>
      </c>
      <c r="N165" s="1126" t="s">
        <v>1259</v>
      </c>
      <c r="O165" s="1125">
        <v>13</v>
      </c>
      <c r="P165" s="1164">
        <v>68.400000000000006</v>
      </c>
      <c r="Q165" s="1164">
        <v>-4.5599999999999996</v>
      </c>
      <c r="R165" s="1164">
        <v>63.84</v>
      </c>
      <c r="S165" s="1164">
        <v>63.84</v>
      </c>
      <c r="T165" s="1164">
        <v>63.84</v>
      </c>
      <c r="U165" s="1164">
        <v>63.84</v>
      </c>
      <c r="V165" s="1164">
        <v>63.84</v>
      </c>
    </row>
    <row r="166" spans="1:22" s="1129" customFormat="1" x14ac:dyDescent="0.25">
      <c r="A166" s="1123">
        <v>4081800400</v>
      </c>
      <c r="B166" s="1125">
        <v>2</v>
      </c>
      <c r="C166" s="1125">
        <v>4</v>
      </c>
      <c r="D166" s="1127" t="s">
        <v>2211</v>
      </c>
      <c r="E166" s="1126" t="s">
        <v>2253</v>
      </c>
      <c r="F166" s="1125">
        <v>287</v>
      </c>
      <c r="G166" s="1126" t="s">
        <v>753</v>
      </c>
      <c r="H166" s="1125">
        <v>1</v>
      </c>
      <c r="I166" s="1175" t="s">
        <v>1268</v>
      </c>
      <c r="J166" s="1126">
        <v>1</v>
      </c>
      <c r="K166" s="1125">
        <v>24</v>
      </c>
      <c r="L166" s="1125">
        <v>1</v>
      </c>
      <c r="M166" s="1125">
        <v>1</v>
      </c>
      <c r="N166" s="1126" t="s">
        <v>1259</v>
      </c>
      <c r="O166" s="1125">
        <v>13</v>
      </c>
      <c r="P166" s="1164">
        <v>681.6</v>
      </c>
      <c r="Q166" s="1164">
        <v>-45.44</v>
      </c>
      <c r="R166" s="1164">
        <v>636.16</v>
      </c>
      <c r="S166" s="1164">
        <v>636.16</v>
      </c>
      <c r="T166" s="1164">
        <v>636.16</v>
      </c>
      <c r="U166" s="1164">
        <v>636.16</v>
      </c>
      <c r="V166" s="1164">
        <v>636.16</v>
      </c>
    </row>
    <row r="167" spans="1:22" s="1129" customFormat="1" x14ac:dyDescent="0.25">
      <c r="A167" s="1123">
        <v>4081800400</v>
      </c>
      <c r="B167" s="1125">
        <v>2</v>
      </c>
      <c r="C167" s="1125">
        <v>4</v>
      </c>
      <c r="D167" s="1127" t="s">
        <v>2211</v>
      </c>
      <c r="E167" s="1126" t="s">
        <v>2253</v>
      </c>
      <c r="F167" s="1125">
        <v>287</v>
      </c>
      <c r="G167" s="1126" t="s">
        <v>753</v>
      </c>
      <c r="H167" s="1125">
        <v>1</v>
      </c>
      <c r="I167" s="1175" t="s">
        <v>1269</v>
      </c>
      <c r="J167" s="1126">
        <v>1</v>
      </c>
      <c r="K167" s="1125">
        <v>24</v>
      </c>
      <c r="L167" s="1125">
        <v>1</v>
      </c>
      <c r="M167" s="1125">
        <v>1</v>
      </c>
      <c r="N167" s="1126" t="s">
        <v>1259</v>
      </c>
      <c r="O167" s="1125">
        <v>13</v>
      </c>
      <c r="P167" s="1164">
        <v>8212.32</v>
      </c>
      <c r="Q167" s="1164">
        <v>-1073.52</v>
      </c>
      <c r="R167" s="1164">
        <v>7138.8</v>
      </c>
      <c r="S167" s="1164">
        <v>7138.8</v>
      </c>
      <c r="T167" s="1164">
        <v>7138.8</v>
      </c>
      <c r="U167" s="1164">
        <v>7138.8</v>
      </c>
      <c r="V167" s="1164">
        <v>7138.8</v>
      </c>
    </row>
    <row r="168" spans="1:22" s="1129" customFormat="1" x14ac:dyDescent="0.25">
      <c r="A168" s="1123">
        <v>4081800400</v>
      </c>
      <c r="B168" s="1125">
        <v>2</v>
      </c>
      <c r="C168" s="1125">
        <v>4</v>
      </c>
      <c r="D168" s="1127" t="s">
        <v>2211</v>
      </c>
      <c r="E168" s="1126" t="s">
        <v>2253</v>
      </c>
      <c r="F168" s="1125">
        <v>287</v>
      </c>
      <c r="G168" s="1126" t="s">
        <v>753</v>
      </c>
      <c r="H168" s="1125">
        <v>1</v>
      </c>
      <c r="I168" s="1175" t="s">
        <v>1270</v>
      </c>
      <c r="J168" s="1126">
        <v>1</v>
      </c>
      <c r="K168" s="1125">
        <v>24</v>
      </c>
      <c r="L168" s="1125">
        <v>1</v>
      </c>
      <c r="M168" s="1125">
        <v>1</v>
      </c>
      <c r="N168" s="1126" t="s">
        <v>1259</v>
      </c>
      <c r="O168" s="1125">
        <v>13</v>
      </c>
      <c r="P168" s="1164">
        <v>49272.959999999999</v>
      </c>
      <c r="Q168" s="1164">
        <v>-6440.14</v>
      </c>
      <c r="R168" s="1164">
        <v>42832.82</v>
      </c>
      <c r="S168" s="1164">
        <v>42832.82</v>
      </c>
      <c r="T168" s="1164">
        <v>42832.82</v>
      </c>
      <c r="U168" s="1164">
        <v>42832.82</v>
      </c>
      <c r="V168" s="1164">
        <v>42832.82</v>
      </c>
    </row>
    <row r="169" spans="1:22" s="1129" customFormat="1" x14ac:dyDescent="0.25">
      <c r="A169" s="1123">
        <v>4081800400</v>
      </c>
      <c r="B169" s="1125">
        <v>2</v>
      </c>
      <c r="C169" s="1125">
        <v>4</v>
      </c>
      <c r="D169" s="1127" t="s">
        <v>2211</v>
      </c>
      <c r="E169" s="1126" t="s">
        <v>2253</v>
      </c>
      <c r="F169" s="1125">
        <v>287</v>
      </c>
      <c r="G169" s="1126" t="s">
        <v>753</v>
      </c>
      <c r="H169" s="1125">
        <v>1</v>
      </c>
      <c r="I169" s="1175" t="s">
        <v>1271</v>
      </c>
      <c r="J169" s="1126">
        <v>1</v>
      </c>
      <c r="K169" s="1125">
        <v>24</v>
      </c>
      <c r="L169" s="1125">
        <v>1</v>
      </c>
      <c r="M169" s="1125">
        <v>1</v>
      </c>
      <c r="N169" s="1126" t="s">
        <v>1259</v>
      </c>
      <c r="O169" s="1125">
        <v>13</v>
      </c>
      <c r="P169" s="1164">
        <v>16424.400000000001</v>
      </c>
      <c r="Q169" s="1164">
        <v>-2146.88</v>
      </c>
      <c r="R169" s="1164">
        <v>14277.52</v>
      </c>
      <c r="S169" s="1164">
        <v>14277.52</v>
      </c>
      <c r="T169" s="1164">
        <v>14277.52</v>
      </c>
      <c r="U169" s="1164">
        <v>14277.52</v>
      </c>
      <c r="V169" s="1164">
        <v>14277.52</v>
      </c>
    </row>
    <row r="170" spans="1:22" s="1129" customFormat="1" x14ac:dyDescent="0.25">
      <c r="A170" s="1123">
        <v>4081800400</v>
      </c>
      <c r="B170" s="1125">
        <v>2</v>
      </c>
      <c r="C170" s="1125">
        <v>4</v>
      </c>
      <c r="D170" s="1127" t="s">
        <v>2211</v>
      </c>
      <c r="E170" s="1126" t="s">
        <v>2253</v>
      </c>
      <c r="F170" s="1125">
        <v>287</v>
      </c>
      <c r="G170" s="1126" t="s">
        <v>753</v>
      </c>
      <c r="H170" s="1125">
        <v>1</v>
      </c>
      <c r="I170" s="1175" t="s">
        <v>1272</v>
      </c>
      <c r="J170" s="1126">
        <v>1</v>
      </c>
      <c r="K170" s="1125">
        <v>24</v>
      </c>
      <c r="L170" s="1125">
        <v>1</v>
      </c>
      <c r="M170" s="1125">
        <v>1</v>
      </c>
      <c r="N170" s="1126" t="s">
        <v>1259</v>
      </c>
      <c r="O170" s="1125">
        <v>13</v>
      </c>
      <c r="P170" s="1164">
        <v>44304</v>
      </c>
      <c r="Q170" s="1164">
        <v>-22152</v>
      </c>
      <c r="R170" s="1164">
        <v>22152</v>
      </c>
      <c r="S170" s="1164">
        <v>22152</v>
      </c>
      <c r="T170" s="1164">
        <v>22152</v>
      </c>
      <c r="U170" s="1164">
        <v>22152</v>
      </c>
      <c r="V170" s="1164">
        <v>22152</v>
      </c>
    </row>
    <row r="171" spans="1:22" s="1129" customFormat="1" x14ac:dyDescent="0.25">
      <c r="A171" s="1123">
        <v>4081800400</v>
      </c>
      <c r="B171" s="1125">
        <v>2</v>
      </c>
      <c r="C171" s="1125">
        <v>4</v>
      </c>
      <c r="D171" s="1127" t="s">
        <v>2211</v>
      </c>
      <c r="E171" s="1126" t="s">
        <v>2253</v>
      </c>
      <c r="F171" s="1125">
        <v>287</v>
      </c>
      <c r="G171" s="1126" t="s">
        <v>753</v>
      </c>
      <c r="H171" s="1125">
        <v>1</v>
      </c>
      <c r="I171" s="1175" t="s">
        <v>1273</v>
      </c>
      <c r="J171" s="1126">
        <v>1</v>
      </c>
      <c r="K171" s="1125">
        <v>24</v>
      </c>
      <c r="L171" s="1125">
        <v>1</v>
      </c>
      <c r="M171" s="1125">
        <v>1</v>
      </c>
      <c r="N171" s="1126" t="s">
        <v>1259</v>
      </c>
      <c r="O171" s="1125">
        <v>13</v>
      </c>
      <c r="P171" s="1164">
        <v>139607.28</v>
      </c>
      <c r="Q171" s="1164">
        <v>104821.68</v>
      </c>
      <c r="R171" s="1164">
        <v>244428.96</v>
      </c>
      <c r="S171" s="1164">
        <v>244428.96</v>
      </c>
      <c r="T171" s="1164">
        <v>244428.96</v>
      </c>
      <c r="U171" s="1164">
        <v>244428.96</v>
      </c>
      <c r="V171" s="1164">
        <v>121359.33</v>
      </c>
    </row>
    <row r="172" spans="1:22" s="1129" customFormat="1" x14ac:dyDescent="0.25">
      <c r="A172" s="1123">
        <v>4081800400</v>
      </c>
      <c r="B172" s="1125">
        <v>2</v>
      </c>
      <c r="C172" s="1125">
        <v>4</v>
      </c>
      <c r="D172" s="1127" t="s">
        <v>2211</v>
      </c>
      <c r="E172" s="1126" t="s">
        <v>2253</v>
      </c>
      <c r="F172" s="1125">
        <v>287</v>
      </c>
      <c r="G172" s="1126" t="s">
        <v>753</v>
      </c>
      <c r="H172" s="1125">
        <v>1</v>
      </c>
      <c r="I172" s="1175" t="s">
        <v>1274</v>
      </c>
      <c r="J172" s="1126">
        <v>1</v>
      </c>
      <c r="K172" s="1125">
        <v>24</v>
      </c>
      <c r="L172" s="1125">
        <v>1</v>
      </c>
      <c r="M172" s="1125">
        <v>1</v>
      </c>
      <c r="N172" s="1126" t="s">
        <v>1259</v>
      </c>
      <c r="O172" s="1125">
        <v>13</v>
      </c>
      <c r="P172" s="1164">
        <v>8212.32</v>
      </c>
      <c r="Q172" s="1164">
        <v>-1073.52</v>
      </c>
      <c r="R172" s="1164">
        <v>7138.8</v>
      </c>
      <c r="S172" s="1164">
        <v>7138.8</v>
      </c>
      <c r="T172" s="1164">
        <v>7138.8</v>
      </c>
      <c r="U172" s="1164">
        <v>7138.8</v>
      </c>
      <c r="V172" s="1164">
        <v>7138.8</v>
      </c>
    </row>
    <row r="173" spans="1:22" s="1129" customFormat="1" x14ac:dyDescent="0.25">
      <c r="A173" s="1123">
        <v>4081800400</v>
      </c>
      <c r="B173" s="1125">
        <v>2</v>
      </c>
      <c r="C173" s="1125">
        <v>4</v>
      </c>
      <c r="D173" s="1127" t="s">
        <v>2211</v>
      </c>
      <c r="E173" s="1126" t="s">
        <v>2253</v>
      </c>
      <c r="F173" s="1125">
        <v>287</v>
      </c>
      <c r="G173" s="1126" t="s">
        <v>753</v>
      </c>
      <c r="H173" s="1125">
        <v>1</v>
      </c>
      <c r="I173" s="1175" t="s">
        <v>1275</v>
      </c>
      <c r="J173" s="1126">
        <v>1</v>
      </c>
      <c r="K173" s="1125">
        <v>24</v>
      </c>
      <c r="L173" s="1125">
        <v>1</v>
      </c>
      <c r="M173" s="1125">
        <v>1</v>
      </c>
      <c r="N173" s="1126" t="s">
        <v>1259</v>
      </c>
      <c r="O173" s="1125">
        <v>13</v>
      </c>
      <c r="P173" s="1164">
        <v>65697.600000000006</v>
      </c>
      <c r="Q173" s="1164">
        <v>-8587.15</v>
      </c>
      <c r="R173" s="1164">
        <v>57110.45</v>
      </c>
      <c r="S173" s="1164">
        <v>57110.45</v>
      </c>
      <c r="T173" s="1164">
        <v>57110.45</v>
      </c>
      <c r="U173" s="1164">
        <v>57110.45</v>
      </c>
      <c r="V173" s="1164">
        <v>57110.45</v>
      </c>
    </row>
    <row r="174" spans="1:22" s="1129" customFormat="1" x14ac:dyDescent="0.25">
      <c r="A174" s="1123">
        <v>4081800400</v>
      </c>
      <c r="B174" s="1125">
        <v>2</v>
      </c>
      <c r="C174" s="1125">
        <v>4</v>
      </c>
      <c r="D174" s="1127" t="s">
        <v>2211</v>
      </c>
      <c r="E174" s="1126" t="s">
        <v>2253</v>
      </c>
      <c r="F174" s="1125">
        <v>287</v>
      </c>
      <c r="G174" s="1126" t="s">
        <v>753</v>
      </c>
      <c r="H174" s="1125">
        <v>1</v>
      </c>
      <c r="I174" s="1175" t="s">
        <v>1276</v>
      </c>
      <c r="J174" s="1126">
        <v>1</v>
      </c>
      <c r="K174" s="1125">
        <v>24</v>
      </c>
      <c r="L174" s="1125">
        <v>1</v>
      </c>
      <c r="M174" s="1125">
        <v>1</v>
      </c>
      <c r="N174" s="1126" t="s">
        <v>1259</v>
      </c>
      <c r="O174" s="1125">
        <v>13</v>
      </c>
      <c r="P174" s="1164">
        <v>279214.8</v>
      </c>
      <c r="Q174" s="1164">
        <v>-36495.93</v>
      </c>
      <c r="R174" s="1164">
        <v>242718.87</v>
      </c>
      <c r="S174" s="1164">
        <v>242718.87</v>
      </c>
      <c r="T174" s="1164">
        <v>242718.87</v>
      </c>
      <c r="U174" s="1164">
        <v>242718.87</v>
      </c>
      <c r="V174" s="1164">
        <v>242718.87</v>
      </c>
    </row>
    <row r="175" spans="1:22" s="1129" customFormat="1" x14ac:dyDescent="0.25">
      <c r="A175" s="1123">
        <v>4081800400</v>
      </c>
      <c r="B175" s="1125">
        <v>2</v>
      </c>
      <c r="C175" s="1125">
        <v>4</v>
      </c>
      <c r="D175" s="1127" t="s">
        <v>2211</v>
      </c>
      <c r="E175" s="1126" t="s">
        <v>2253</v>
      </c>
      <c r="F175" s="1125">
        <v>287</v>
      </c>
      <c r="G175" s="1126" t="s">
        <v>753</v>
      </c>
      <c r="H175" s="1125">
        <v>1</v>
      </c>
      <c r="I175" s="1175" t="s">
        <v>1277</v>
      </c>
      <c r="J175" s="1126">
        <v>1</v>
      </c>
      <c r="K175" s="1125">
        <v>24</v>
      </c>
      <c r="L175" s="1125">
        <v>1</v>
      </c>
      <c r="M175" s="1125">
        <v>1</v>
      </c>
      <c r="N175" s="1126" t="s">
        <v>1259</v>
      </c>
      <c r="O175" s="1125">
        <v>13</v>
      </c>
      <c r="P175" s="1164">
        <v>1320</v>
      </c>
      <c r="Q175" s="1164">
        <v>41912</v>
      </c>
      <c r="R175" s="1164">
        <v>43232</v>
      </c>
      <c r="S175" s="1164">
        <v>43232</v>
      </c>
      <c r="T175" s="1164">
        <v>43232</v>
      </c>
      <c r="U175" s="1164">
        <v>43232</v>
      </c>
      <c r="V175" s="1164">
        <v>1232</v>
      </c>
    </row>
    <row r="176" spans="1:22" s="1129" customFormat="1" x14ac:dyDescent="0.25">
      <c r="A176" s="1123">
        <v>4081800400</v>
      </c>
      <c r="B176" s="1125">
        <v>2</v>
      </c>
      <c r="C176" s="1125">
        <v>4</v>
      </c>
      <c r="D176" s="1127" t="s">
        <v>2211</v>
      </c>
      <c r="E176" s="1126" t="s">
        <v>2253</v>
      </c>
      <c r="F176" s="1125">
        <v>287</v>
      </c>
      <c r="G176" s="1126" t="s">
        <v>753</v>
      </c>
      <c r="H176" s="1125">
        <v>1</v>
      </c>
      <c r="I176" s="1175" t="s">
        <v>2229</v>
      </c>
      <c r="J176" s="1126">
        <v>1</v>
      </c>
      <c r="K176" s="1125">
        <v>24</v>
      </c>
      <c r="L176" s="1125">
        <v>1</v>
      </c>
      <c r="M176" s="1125">
        <v>1</v>
      </c>
      <c r="N176" s="1126" t="s">
        <v>1259</v>
      </c>
      <c r="O176" s="1125">
        <v>13</v>
      </c>
      <c r="P176" s="1164">
        <v>24000</v>
      </c>
      <c r="Q176" s="1164">
        <v>-24000</v>
      </c>
      <c r="R176" s="1164">
        <v>0</v>
      </c>
      <c r="S176" s="1164">
        <v>0</v>
      </c>
      <c r="T176" s="1164">
        <v>0</v>
      </c>
      <c r="U176" s="1164">
        <v>0</v>
      </c>
      <c r="V176" s="1164">
        <v>0</v>
      </c>
    </row>
    <row r="177" spans="1:22" s="1129" customFormat="1" x14ac:dyDescent="0.25">
      <c r="A177" s="1123">
        <v>4081800400</v>
      </c>
      <c r="B177" s="1125">
        <v>2</v>
      </c>
      <c r="C177" s="1125">
        <v>4</v>
      </c>
      <c r="D177" s="1127" t="s">
        <v>2211</v>
      </c>
      <c r="E177" s="1126" t="s">
        <v>2253</v>
      </c>
      <c r="F177" s="1125">
        <v>287</v>
      </c>
      <c r="G177" s="1126" t="s">
        <v>753</v>
      </c>
      <c r="H177" s="1125">
        <v>1</v>
      </c>
      <c r="I177" s="1175" t="s">
        <v>1278</v>
      </c>
      <c r="J177" s="1126">
        <v>1</v>
      </c>
      <c r="K177" s="1125">
        <v>24</v>
      </c>
      <c r="L177" s="1125">
        <v>1</v>
      </c>
      <c r="M177" s="1125">
        <v>1</v>
      </c>
      <c r="N177" s="1126" t="s">
        <v>1259</v>
      </c>
      <c r="O177" s="1125">
        <v>13</v>
      </c>
      <c r="P177" s="1164">
        <v>516</v>
      </c>
      <c r="Q177" s="1164">
        <v>-215</v>
      </c>
      <c r="R177" s="1164">
        <v>301</v>
      </c>
      <c r="S177" s="1164">
        <v>301</v>
      </c>
      <c r="T177" s="1164">
        <v>301</v>
      </c>
      <c r="U177" s="1164">
        <v>301</v>
      </c>
      <c r="V177" s="1164">
        <v>301</v>
      </c>
    </row>
    <row r="178" spans="1:22" s="1129" customFormat="1" x14ac:dyDescent="0.25">
      <c r="A178" s="1123">
        <v>4081800400</v>
      </c>
      <c r="B178" s="1125">
        <v>2</v>
      </c>
      <c r="C178" s="1125">
        <v>4</v>
      </c>
      <c r="D178" s="1127" t="s">
        <v>2211</v>
      </c>
      <c r="E178" s="1126" t="s">
        <v>2253</v>
      </c>
      <c r="F178" s="1125">
        <v>287</v>
      </c>
      <c r="G178" s="1126" t="s">
        <v>753</v>
      </c>
      <c r="H178" s="1125">
        <v>1</v>
      </c>
      <c r="I178" s="1175" t="s">
        <v>1279</v>
      </c>
      <c r="J178" s="1126">
        <v>1</v>
      </c>
      <c r="K178" s="1125">
        <v>24</v>
      </c>
      <c r="L178" s="1125">
        <v>1</v>
      </c>
      <c r="M178" s="1125">
        <v>1</v>
      </c>
      <c r="N178" s="1126" t="s">
        <v>1259</v>
      </c>
      <c r="O178" s="1125">
        <v>13</v>
      </c>
      <c r="P178" s="1164">
        <v>3077.52</v>
      </c>
      <c r="Q178" s="1164">
        <v>-1564.28</v>
      </c>
      <c r="R178" s="1164">
        <v>1513.24</v>
      </c>
      <c r="S178" s="1164">
        <v>1513.24</v>
      </c>
      <c r="T178" s="1164">
        <v>1513.24</v>
      </c>
      <c r="U178" s="1164">
        <v>1513.24</v>
      </c>
      <c r="V178" s="1164">
        <v>1513.24</v>
      </c>
    </row>
    <row r="179" spans="1:22" s="1129" customFormat="1" x14ac:dyDescent="0.25">
      <c r="A179" s="1123">
        <v>4081800400</v>
      </c>
      <c r="B179" s="1125">
        <v>2</v>
      </c>
      <c r="C179" s="1125">
        <v>4</v>
      </c>
      <c r="D179" s="1127" t="s">
        <v>2211</v>
      </c>
      <c r="E179" s="1126" t="s">
        <v>2253</v>
      </c>
      <c r="F179" s="1125">
        <v>287</v>
      </c>
      <c r="G179" s="1126" t="s">
        <v>753</v>
      </c>
      <c r="H179" s="1125">
        <v>1</v>
      </c>
      <c r="I179" s="1175" t="s">
        <v>2246</v>
      </c>
      <c r="J179" s="1126">
        <v>1</v>
      </c>
      <c r="K179" s="1125">
        <v>24</v>
      </c>
      <c r="L179" s="1125">
        <v>1</v>
      </c>
      <c r="M179" s="1125">
        <v>1</v>
      </c>
      <c r="N179" s="1126" t="s">
        <v>1259</v>
      </c>
      <c r="O179" s="1125">
        <v>13</v>
      </c>
      <c r="P179" s="1164">
        <v>0</v>
      </c>
      <c r="Q179" s="1164">
        <v>229299.31</v>
      </c>
      <c r="R179" s="1164">
        <v>229299.31</v>
      </c>
      <c r="S179" s="1164">
        <v>229299.31</v>
      </c>
      <c r="T179" s="1164">
        <v>229299.31</v>
      </c>
      <c r="U179" s="1164">
        <v>229299.31</v>
      </c>
      <c r="V179" s="1164">
        <v>229299.31</v>
      </c>
    </row>
    <row r="180" spans="1:22" s="1129" customFormat="1" x14ac:dyDescent="0.25">
      <c r="A180" s="1123">
        <v>4081800400</v>
      </c>
      <c r="B180" s="1125">
        <v>2</v>
      </c>
      <c r="C180" s="1125">
        <v>4</v>
      </c>
      <c r="D180" s="1127" t="s">
        <v>2211</v>
      </c>
      <c r="E180" s="1126" t="s">
        <v>2253</v>
      </c>
      <c r="F180" s="1125">
        <v>287</v>
      </c>
      <c r="G180" s="1126" t="s">
        <v>753</v>
      </c>
      <c r="H180" s="1125">
        <v>1</v>
      </c>
      <c r="I180" s="1175" t="s">
        <v>1280</v>
      </c>
      <c r="J180" s="1126">
        <v>1</v>
      </c>
      <c r="K180" s="1125">
        <v>24</v>
      </c>
      <c r="L180" s="1125">
        <v>1</v>
      </c>
      <c r="M180" s="1125">
        <v>1</v>
      </c>
      <c r="N180" s="1126" t="s">
        <v>1259</v>
      </c>
      <c r="O180" s="1125">
        <v>13</v>
      </c>
      <c r="P180" s="1164">
        <v>11858.09</v>
      </c>
      <c r="Q180" s="1164">
        <v>-800</v>
      </c>
      <c r="R180" s="1164">
        <v>11058.09</v>
      </c>
      <c r="S180" s="1164">
        <v>11058.09</v>
      </c>
      <c r="T180" s="1164">
        <v>11058.09</v>
      </c>
      <c r="U180" s="1164">
        <v>11058.09</v>
      </c>
      <c r="V180" s="1164">
        <v>11058.09</v>
      </c>
    </row>
    <row r="181" spans="1:22" s="1129" customFormat="1" x14ac:dyDescent="0.25">
      <c r="A181" s="1123">
        <v>4081800400</v>
      </c>
      <c r="B181" s="1125">
        <v>2</v>
      </c>
      <c r="C181" s="1125">
        <v>4</v>
      </c>
      <c r="D181" s="1127" t="s">
        <v>2211</v>
      </c>
      <c r="E181" s="1126" t="s">
        <v>2253</v>
      </c>
      <c r="F181" s="1125">
        <v>287</v>
      </c>
      <c r="G181" s="1126" t="s">
        <v>753</v>
      </c>
      <c r="H181" s="1125">
        <v>1</v>
      </c>
      <c r="I181" s="1175" t="s">
        <v>2193</v>
      </c>
      <c r="J181" s="1126">
        <v>1</v>
      </c>
      <c r="K181" s="1125">
        <v>24</v>
      </c>
      <c r="L181" s="1125">
        <v>1</v>
      </c>
      <c r="M181" s="1125">
        <v>1</v>
      </c>
      <c r="N181" s="1126" t="s">
        <v>1259</v>
      </c>
      <c r="O181" s="1125">
        <v>13</v>
      </c>
      <c r="P181" s="1164">
        <v>17096.810000000001</v>
      </c>
      <c r="Q181" s="1164">
        <v>-10659.7</v>
      </c>
      <c r="R181" s="1164">
        <v>6437.11</v>
      </c>
      <c r="S181" s="1164">
        <v>6437.11</v>
      </c>
      <c r="T181" s="1164">
        <v>6437.11</v>
      </c>
      <c r="U181" s="1164">
        <v>6437.11</v>
      </c>
      <c r="V181" s="1164">
        <v>6437.11</v>
      </c>
    </row>
    <row r="182" spans="1:22" s="1129" customFormat="1" x14ac:dyDescent="0.25">
      <c r="A182" s="1123">
        <v>4081800400</v>
      </c>
      <c r="B182" s="1125">
        <v>2</v>
      </c>
      <c r="C182" s="1125">
        <v>4</v>
      </c>
      <c r="D182" s="1127" t="s">
        <v>2211</v>
      </c>
      <c r="E182" s="1126" t="s">
        <v>2253</v>
      </c>
      <c r="F182" s="1125">
        <v>287</v>
      </c>
      <c r="G182" s="1126" t="s">
        <v>753</v>
      </c>
      <c r="H182" s="1125">
        <v>1</v>
      </c>
      <c r="I182" s="1175" t="s">
        <v>1358</v>
      </c>
      <c r="J182" s="1126">
        <v>1</v>
      </c>
      <c r="K182" s="1125">
        <v>24</v>
      </c>
      <c r="L182" s="1125">
        <v>1</v>
      </c>
      <c r="M182" s="1125">
        <v>1</v>
      </c>
      <c r="N182" s="1126" t="s">
        <v>1259</v>
      </c>
      <c r="O182" s="1125">
        <v>13</v>
      </c>
      <c r="P182" s="1164">
        <v>31440</v>
      </c>
      <c r="Q182" s="1164">
        <v>-13100</v>
      </c>
      <c r="R182" s="1164">
        <v>18340</v>
      </c>
      <c r="S182" s="1164">
        <v>18340</v>
      </c>
      <c r="T182" s="1164">
        <v>18340</v>
      </c>
      <c r="U182" s="1164">
        <v>18340</v>
      </c>
      <c r="V182" s="1164">
        <v>18340</v>
      </c>
    </row>
    <row r="183" spans="1:22" s="1129" customFormat="1" x14ac:dyDescent="0.25">
      <c r="A183" s="1123">
        <v>4081800400</v>
      </c>
      <c r="B183" s="1125">
        <v>2</v>
      </c>
      <c r="C183" s="1125">
        <v>4</v>
      </c>
      <c r="D183" s="1127" t="s">
        <v>2211</v>
      </c>
      <c r="E183" s="1126" t="s">
        <v>2253</v>
      </c>
      <c r="F183" s="1125">
        <v>287</v>
      </c>
      <c r="G183" s="1126" t="s">
        <v>753</v>
      </c>
      <c r="H183" s="1125">
        <v>1</v>
      </c>
      <c r="I183" s="1175" t="s">
        <v>1381</v>
      </c>
      <c r="J183" s="1126">
        <v>1</v>
      </c>
      <c r="K183" s="1125">
        <v>24</v>
      </c>
      <c r="L183" s="1125">
        <v>1</v>
      </c>
      <c r="M183" s="1125">
        <v>1</v>
      </c>
      <c r="N183" s="1126" t="s">
        <v>1259</v>
      </c>
      <c r="O183" s="1125">
        <v>13</v>
      </c>
      <c r="P183" s="1164">
        <v>2900</v>
      </c>
      <c r="Q183" s="1164">
        <v>-1400</v>
      </c>
      <c r="R183" s="1164">
        <v>1500</v>
      </c>
      <c r="S183" s="1164">
        <v>1500</v>
      </c>
      <c r="T183" s="1164">
        <v>1500</v>
      </c>
      <c r="U183" s="1164">
        <v>1500</v>
      </c>
      <c r="V183" s="1164">
        <v>1500</v>
      </c>
    </row>
    <row r="184" spans="1:22" s="1129" customFormat="1" x14ac:dyDescent="0.25">
      <c r="A184" s="1123">
        <v>4081800400</v>
      </c>
      <c r="B184" s="1125">
        <v>2</v>
      </c>
      <c r="C184" s="1125">
        <v>4</v>
      </c>
      <c r="D184" s="1127" t="s">
        <v>2211</v>
      </c>
      <c r="E184" s="1126" t="s">
        <v>2253</v>
      </c>
      <c r="F184" s="1125">
        <v>287</v>
      </c>
      <c r="G184" s="1126" t="s">
        <v>753</v>
      </c>
      <c r="H184" s="1125">
        <v>1</v>
      </c>
      <c r="I184" s="1175" t="s">
        <v>1359</v>
      </c>
      <c r="J184" s="1126">
        <v>1</v>
      </c>
      <c r="K184" s="1125">
        <v>24</v>
      </c>
      <c r="L184" s="1125">
        <v>1</v>
      </c>
      <c r="M184" s="1125">
        <v>1</v>
      </c>
      <c r="N184" s="1126" t="s">
        <v>1259</v>
      </c>
      <c r="O184" s="1125">
        <v>13</v>
      </c>
      <c r="P184" s="1164">
        <v>18384</v>
      </c>
      <c r="Q184" s="1164">
        <v>-7252</v>
      </c>
      <c r="R184" s="1164">
        <v>11132</v>
      </c>
      <c r="S184" s="1164">
        <v>11132</v>
      </c>
      <c r="T184" s="1164">
        <v>11132</v>
      </c>
      <c r="U184" s="1164">
        <v>11132</v>
      </c>
      <c r="V184" s="1164">
        <v>11132</v>
      </c>
    </row>
    <row r="185" spans="1:22" s="1129" customFormat="1" x14ac:dyDescent="0.25">
      <c r="A185" s="1123">
        <v>4081800400</v>
      </c>
      <c r="B185" s="1125">
        <v>2</v>
      </c>
      <c r="C185" s="1125">
        <v>4</v>
      </c>
      <c r="D185" s="1127" t="s">
        <v>2211</v>
      </c>
      <c r="E185" s="1126" t="s">
        <v>2253</v>
      </c>
      <c r="F185" s="1125">
        <v>287</v>
      </c>
      <c r="G185" s="1126" t="s">
        <v>753</v>
      </c>
      <c r="H185" s="1125">
        <v>1</v>
      </c>
      <c r="I185" s="1175" t="s">
        <v>1360</v>
      </c>
      <c r="J185" s="1126">
        <v>1</v>
      </c>
      <c r="K185" s="1125">
        <v>24</v>
      </c>
      <c r="L185" s="1125">
        <v>1</v>
      </c>
      <c r="M185" s="1125">
        <v>1</v>
      </c>
      <c r="N185" s="1126" t="s">
        <v>1259</v>
      </c>
      <c r="O185" s="1125">
        <v>13</v>
      </c>
      <c r="P185" s="1164">
        <v>20232</v>
      </c>
      <c r="Q185" s="1164">
        <v>-7986</v>
      </c>
      <c r="R185" s="1164">
        <v>12246</v>
      </c>
      <c r="S185" s="1164">
        <v>12246</v>
      </c>
      <c r="T185" s="1164">
        <v>12246</v>
      </c>
      <c r="U185" s="1164">
        <v>12246</v>
      </c>
      <c r="V185" s="1164">
        <v>12246</v>
      </c>
    </row>
    <row r="186" spans="1:22" s="1129" customFormat="1" x14ac:dyDescent="0.25">
      <c r="A186" s="1123">
        <v>4081800400</v>
      </c>
      <c r="B186" s="1125">
        <v>2</v>
      </c>
      <c r="C186" s="1125">
        <v>4</v>
      </c>
      <c r="D186" s="1127" t="s">
        <v>2211</v>
      </c>
      <c r="E186" s="1126" t="s">
        <v>2253</v>
      </c>
      <c r="F186" s="1125">
        <v>287</v>
      </c>
      <c r="G186" s="1126" t="s">
        <v>753</v>
      </c>
      <c r="H186" s="1125">
        <v>1</v>
      </c>
      <c r="I186" s="1175" t="s">
        <v>2194</v>
      </c>
      <c r="J186" s="1126">
        <v>1</v>
      </c>
      <c r="K186" s="1125">
        <v>24</v>
      </c>
      <c r="L186" s="1125">
        <v>1</v>
      </c>
      <c r="M186" s="1125">
        <v>1</v>
      </c>
      <c r="N186" s="1126" t="s">
        <v>1259</v>
      </c>
      <c r="O186" s="1125">
        <v>13</v>
      </c>
      <c r="P186" s="1164">
        <v>2560</v>
      </c>
      <c r="Q186" s="1164">
        <v>-1060</v>
      </c>
      <c r="R186" s="1164">
        <v>1500</v>
      </c>
      <c r="S186" s="1164">
        <v>1500</v>
      </c>
      <c r="T186" s="1164">
        <v>1500</v>
      </c>
      <c r="U186" s="1164">
        <v>1500</v>
      </c>
      <c r="V186" s="1164">
        <v>1500</v>
      </c>
    </row>
    <row r="187" spans="1:22" s="1129" customFormat="1" x14ac:dyDescent="0.25">
      <c r="A187" s="1123">
        <v>4081800400</v>
      </c>
      <c r="B187" s="1125">
        <v>2</v>
      </c>
      <c r="C187" s="1125">
        <v>4</v>
      </c>
      <c r="D187" s="1127" t="s">
        <v>2211</v>
      </c>
      <c r="E187" s="1126" t="s">
        <v>2253</v>
      </c>
      <c r="F187" s="1125">
        <v>287</v>
      </c>
      <c r="G187" s="1126" t="s">
        <v>753</v>
      </c>
      <c r="H187" s="1125">
        <v>1</v>
      </c>
      <c r="I187" s="1175" t="s">
        <v>2121</v>
      </c>
      <c r="J187" s="1126">
        <v>1</v>
      </c>
      <c r="K187" s="1125">
        <v>24</v>
      </c>
      <c r="L187" s="1125">
        <v>1</v>
      </c>
      <c r="M187" s="1125">
        <v>1</v>
      </c>
      <c r="N187" s="1126" t="s">
        <v>1259</v>
      </c>
      <c r="O187" s="1125">
        <v>13</v>
      </c>
      <c r="P187" s="1164">
        <v>1460</v>
      </c>
      <c r="Q187" s="1164">
        <v>-460</v>
      </c>
      <c r="R187" s="1164">
        <v>1000</v>
      </c>
      <c r="S187" s="1164">
        <v>1000</v>
      </c>
      <c r="T187" s="1164">
        <v>1000</v>
      </c>
      <c r="U187" s="1164">
        <v>1000</v>
      </c>
      <c r="V187" s="1164">
        <v>1000</v>
      </c>
    </row>
    <row r="188" spans="1:22" s="1129" customFormat="1" x14ac:dyDescent="0.25">
      <c r="A188" s="1123">
        <v>4081800400</v>
      </c>
      <c r="B188" s="1125">
        <v>2</v>
      </c>
      <c r="C188" s="1125">
        <v>4</v>
      </c>
      <c r="D188" s="1127" t="s">
        <v>2211</v>
      </c>
      <c r="E188" s="1126" t="s">
        <v>2253</v>
      </c>
      <c r="F188" s="1125">
        <v>287</v>
      </c>
      <c r="G188" s="1126" t="s">
        <v>753</v>
      </c>
      <c r="H188" s="1125">
        <v>1</v>
      </c>
      <c r="I188" s="1175" t="s">
        <v>1362</v>
      </c>
      <c r="J188" s="1126">
        <v>1</v>
      </c>
      <c r="K188" s="1125">
        <v>24</v>
      </c>
      <c r="L188" s="1125">
        <v>1</v>
      </c>
      <c r="M188" s="1125">
        <v>1</v>
      </c>
      <c r="N188" s="1126" t="s">
        <v>1259</v>
      </c>
      <c r="O188" s="1125">
        <v>13</v>
      </c>
      <c r="P188" s="1164">
        <v>2000</v>
      </c>
      <c r="Q188" s="1164">
        <v>-2000</v>
      </c>
      <c r="R188" s="1164">
        <v>0</v>
      </c>
      <c r="S188" s="1164">
        <v>0</v>
      </c>
      <c r="T188" s="1164">
        <v>0</v>
      </c>
      <c r="U188" s="1164">
        <v>0</v>
      </c>
      <c r="V188" s="1164">
        <v>0</v>
      </c>
    </row>
    <row r="189" spans="1:22" s="1129" customFormat="1" x14ac:dyDescent="0.25">
      <c r="A189" s="1123">
        <v>4081800400</v>
      </c>
      <c r="B189" s="1125">
        <v>2</v>
      </c>
      <c r="C189" s="1125">
        <v>4</v>
      </c>
      <c r="D189" s="1127" t="s">
        <v>2211</v>
      </c>
      <c r="E189" s="1126" t="s">
        <v>2253</v>
      </c>
      <c r="F189" s="1125">
        <v>287</v>
      </c>
      <c r="G189" s="1126" t="s">
        <v>753</v>
      </c>
      <c r="H189" s="1125">
        <v>1</v>
      </c>
      <c r="I189" s="1175" t="s">
        <v>1363</v>
      </c>
      <c r="J189" s="1126">
        <v>1</v>
      </c>
      <c r="K189" s="1125">
        <v>24</v>
      </c>
      <c r="L189" s="1125">
        <v>1</v>
      </c>
      <c r="M189" s="1125">
        <v>1</v>
      </c>
      <c r="N189" s="1126" t="s">
        <v>1259</v>
      </c>
      <c r="O189" s="1125">
        <v>13</v>
      </c>
      <c r="P189" s="1164">
        <v>11448</v>
      </c>
      <c r="Q189" s="1164">
        <v>-4314</v>
      </c>
      <c r="R189" s="1164">
        <v>7134</v>
      </c>
      <c r="S189" s="1164">
        <v>7134</v>
      </c>
      <c r="T189" s="1164">
        <v>7134</v>
      </c>
      <c r="U189" s="1164">
        <v>7134</v>
      </c>
      <c r="V189" s="1164">
        <v>7134</v>
      </c>
    </row>
    <row r="190" spans="1:22" s="1129" customFormat="1" x14ac:dyDescent="0.25">
      <c r="A190" s="1123">
        <v>4081800400</v>
      </c>
      <c r="B190" s="1125">
        <v>2</v>
      </c>
      <c r="C190" s="1125">
        <v>4</v>
      </c>
      <c r="D190" s="1127" t="s">
        <v>2211</v>
      </c>
      <c r="E190" s="1126" t="s">
        <v>2253</v>
      </c>
      <c r="F190" s="1125">
        <v>287</v>
      </c>
      <c r="G190" s="1126" t="s">
        <v>753</v>
      </c>
      <c r="H190" s="1125">
        <v>1</v>
      </c>
      <c r="I190" s="1175" t="s">
        <v>2195</v>
      </c>
      <c r="J190" s="1126">
        <v>1</v>
      </c>
      <c r="K190" s="1125">
        <v>24</v>
      </c>
      <c r="L190" s="1125">
        <v>1</v>
      </c>
      <c r="M190" s="1125">
        <v>1</v>
      </c>
      <c r="N190" s="1126" t="s">
        <v>1259</v>
      </c>
      <c r="O190" s="1125">
        <v>13</v>
      </c>
      <c r="P190" s="1164">
        <v>4000</v>
      </c>
      <c r="Q190" s="1164">
        <v>-2200</v>
      </c>
      <c r="R190" s="1164">
        <v>1800</v>
      </c>
      <c r="S190" s="1164">
        <v>1800</v>
      </c>
      <c r="T190" s="1164">
        <v>1800</v>
      </c>
      <c r="U190" s="1164">
        <v>1800</v>
      </c>
      <c r="V190" s="1164">
        <v>1800</v>
      </c>
    </row>
    <row r="191" spans="1:22" s="1129" customFormat="1" x14ac:dyDescent="0.25">
      <c r="A191" s="1123">
        <v>4081800400</v>
      </c>
      <c r="B191" s="1125">
        <v>2</v>
      </c>
      <c r="C191" s="1125">
        <v>4</v>
      </c>
      <c r="D191" s="1127" t="s">
        <v>2211</v>
      </c>
      <c r="E191" s="1126" t="s">
        <v>2253</v>
      </c>
      <c r="F191" s="1125">
        <v>287</v>
      </c>
      <c r="G191" s="1126" t="s">
        <v>753</v>
      </c>
      <c r="H191" s="1125">
        <v>1</v>
      </c>
      <c r="I191" s="1175" t="s">
        <v>1281</v>
      </c>
      <c r="J191" s="1126">
        <v>1</v>
      </c>
      <c r="K191" s="1125">
        <v>24</v>
      </c>
      <c r="L191" s="1125">
        <v>1</v>
      </c>
      <c r="M191" s="1125">
        <v>1</v>
      </c>
      <c r="N191" s="1126" t="s">
        <v>1259</v>
      </c>
      <c r="O191" s="1125">
        <v>13</v>
      </c>
      <c r="P191" s="1164">
        <v>71293.2</v>
      </c>
      <c r="Q191" s="1164">
        <v>36784.11</v>
      </c>
      <c r="R191" s="1164">
        <v>108077.31</v>
      </c>
      <c r="S191" s="1164">
        <v>108077.31</v>
      </c>
      <c r="T191" s="1164">
        <v>108077.31</v>
      </c>
      <c r="U191" s="1164">
        <v>108077.31</v>
      </c>
      <c r="V191" s="1164">
        <v>108077.31</v>
      </c>
    </row>
    <row r="192" spans="1:22" s="1129" customFormat="1" x14ac:dyDescent="0.25">
      <c r="A192" s="1123">
        <v>4081800400</v>
      </c>
      <c r="B192" s="1125">
        <v>2</v>
      </c>
      <c r="C192" s="1125">
        <v>4</v>
      </c>
      <c r="D192" s="1127" t="s">
        <v>2211</v>
      </c>
      <c r="E192" s="1126" t="s">
        <v>2253</v>
      </c>
      <c r="F192" s="1125">
        <v>287</v>
      </c>
      <c r="G192" s="1126" t="s">
        <v>753</v>
      </c>
      <c r="H192" s="1125">
        <v>1</v>
      </c>
      <c r="I192" s="1175" t="s">
        <v>1282</v>
      </c>
      <c r="J192" s="1126">
        <v>1</v>
      </c>
      <c r="K192" s="1125">
        <v>24</v>
      </c>
      <c r="L192" s="1125">
        <v>1</v>
      </c>
      <c r="M192" s="1125">
        <v>1</v>
      </c>
      <c r="N192" s="1126" t="s">
        <v>1259</v>
      </c>
      <c r="O192" s="1125">
        <v>13</v>
      </c>
      <c r="P192" s="1164">
        <v>130132.12</v>
      </c>
      <c r="Q192" s="1164">
        <v>-130132.12</v>
      </c>
      <c r="R192" s="1164">
        <v>0</v>
      </c>
      <c r="S192" s="1164">
        <v>0</v>
      </c>
      <c r="T192" s="1164">
        <v>0</v>
      </c>
      <c r="U192" s="1164">
        <v>0</v>
      </c>
      <c r="V192" s="1164">
        <v>0</v>
      </c>
    </row>
    <row r="193" spans="1:22" s="1129" customFormat="1" x14ac:dyDescent="0.25">
      <c r="A193" s="1123">
        <v>4081800400</v>
      </c>
      <c r="B193" s="1125">
        <v>2</v>
      </c>
      <c r="C193" s="1125">
        <v>4</v>
      </c>
      <c r="D193" s="1127" t="s">
        <v>2211</v>
      </c>
      <c r="E193" s="1126" t="s">
        <v>2253</v>
      </c>
      <c r="F193" s="1125">
        <v>287</v>
      </c>
      <c r="G193" s="1126" t="s">
        <v>753</v>
      </c>
      <c r="H193" s="1125">
        <v>1</v>
      </c>
      <c r="I193" s="1175" t="s">
        <v>1283</v>
      </c>
      <c r="J193" s="1126">
        <v>1</v>
      </c>
      <c r="K193" s="1125">
        <v>24</v>
      </c>
      <c r="L193" s="1125">
        <v>1</v>
      </c>
      <c r="M193" s="1125">
        <v>1</v>
      </c>
      <c r="N193" s="1126" t="s">
        <v>1259</v>
      </c>
      <c r="O193" s="1125">
        <v>13</v>
      </c>
      <c r="P193" s="1164">
        <v>66000</v>
      </c>
      <c r="Q193" s="1164">
        <v>0</v>
      </c>
      <c r="R193" s="1164">
        <v>66000</v>
      </c>
      <c r="S193" s="1164">
        <v>66000</v>
      </c>
      <c r="T193" s="1164">
        <v>66000</v>
      </c>
      <c r="U193" s="1164">
        <v>66000</v>
      </c>
      <c r="V193" s="1164">
        <v>66000</v>
      </c>
    </row>
    <row r="194" spans="1:22" s="1129" customFormat="1" x14ac:dyDescent="0.25">
      <c r="A194" s="1123">
        <v>4081800400</v>
      </c>
      <c r="B194" s="1125">
        <v>2</v>
      </c>
      <c r="C194" s="1125">
        <v>4</v>
      </c>
      <c r="D194" s="1127" t="s">
        <v>2211</v>
      </c>
      <c r="E194" s="1126" t="s">
        <v>2253</v>
      </c>
      <c r="F194" s="1125">
        <v>287</v>
      </c>
      <c r="G194" s="1126" t="s">
        <v>753</v>
      </c>
      <c r="H194" s="1125">
        <v>1</v>
      </c>
      <c r="I194" s="1175" t="s">
        <v>1382</v>
      </c>
      <c r="J194" s="1126">
        <v>1</v>
      </c>
      <c r="K194" s="1125">
        <v>24</v>
      </c>
      <c r="L194" s="1125">
        <v>1</v>
      </c>
      <c r="M194" s="1125">
        <v>1</v>
      </c>
      <c r="N194" s="1126" t="s">
        <v>1259</v>
      </c>
      <c r="O194" s="1125">
        <v>13</v>
      </c>
      <c r="P194" s="1164">
        <v>7040</v>
      </c>
      <c r="Q194" s="1164">
        <v>-3520</v>
      </c>
      <c r="R194" s="1164">
        <v>3520</v>
      </c>
      <c r="S194" s="1164">
        <v>3520</v>
      </c>
      <c r="T194" s="1164">
        <v>3520</v>
      </c>
      <c r="U194" s="1164">
        <v>3520</v>
      </c>
      <c r="V194" s="1164">
        <v>3520</v>
      </c>
    </row>
    <row r="195" spans="1:22" s="1129" customFormat="1" x14ac:dyDescent="0.25">
      <c r="A195" s="1123">
        <v>4081800400</v>
      </c>
      <c r="B195" s="1125">
        <v>2</v>
      </c>
      <c r="C195" s="1125">
        <v>4</v>
      </c>
      <c r="D195" s="1127" t="s">
        <v>2211</v>
      </c>
      <c r="E195" s="1126" t="s">
        <v>2253</v>
      </c>
      <c r="F195" s="1125">
        <v>287</v>
      </c>
      <c r="G195" s="1126" t="s">
        <v>753</v>
      </c>
      <c r="H195" s="1125">
        <v>1</v>
      </c>
      <c r="I195" s="1175" t="s">
        <v>1365</v>
      </c>
      <c r="J195" s="1126">
        <v>1</v>
      </c>
      <c r="K195" s="1125">
        <v>24</v>
      </c>
      <c r="L195" s="1125">
        <v>1</v>
      </c>
      <c r="M195" s="1125">
        <v>1</v>
      </c>
      <c r="N195" s="1126" t="s">
        <v>1259</v>
      </c>
      <c r="O195" s="1125">
        <v>13</v>
      </c>
      <c r="P195" s="1164">
        <v>38692.080000000002</v>
      </c>
      <c r="Q195" s="1164">
        <v>-17704.669999999998</v>
      </c>
      <c r="R195" s="1164">
        <v>20987.41</v>
      </c>
      <c r="S195" s="1164">
        <v>20987.41</v>
      </c>
      <c r="T195" s="1164">
        <v>20987.41</v>
      </c>
      <c r="U195" s="1164">
        <v>20987.41</v>
      </c>
      <c r="V195" s="1164">
        <v>20987.41</v>
      </c>
    </row>
    <row r="196" spans="1:22" s="1129" customFormat="1" x14ac:dyDescent="0.25">
      <c r="A196" s="1123">
        <v>4081800400</v>
      </c>
      <c r="B196" s="1125">
        <v>2</v>
      </c>
      <c r="C196" s="1125">
        <v>4</v>
      </c>
      <c r="D196" s="1127" t="s">
        <v>2211</v>
      </c>
      <c r="E196" s="1126" t="s">
        <v>2253</v>
      </c>
      <c r="F196" s="1125">
        <v>287</v>
      </c>
      <c r="G196" s="1126" t="s">
        <v>753</v>
      </c>
      <c r="H196" s="1125">
        <v>1</v>
      </c>
      <c r="I196" s="1175" t="s">
        <v>1284</v>
      </c>
      <c r="J196" s="1126">
        <v>1</v>
      </c>
      <c r="K196" s="1125">
        <v>24</v>
      </c>
      <c r="L196" s="1125">
        <v>1</v>
      </c>
      <c r="M196" s="1125">
        <v>1</v>
      </c>
      <c r="N196" s="1126" t="s">
        <v>1259</v>
      </c>
      <c r="O196" s="1125">
        <v>13</v>
      </c>
      <c r="P196" s="1164">
        <v>16000</v>
      </c>
      <c r="Q196" s="1164">
        <v>-16000</v>
      </c>
      <c r="R196" s="1164">
        <v>0</v>
      </c>
      <c r="S196" s="1164">
        <v>999</v>
      </c>
      <c r="T196" s="1164">
        <v>999</v>
      </c>
      <c r="U196" s="1164">
        <v>999</v>
      </c>
      <c r="V196" s="1164">
        <v>999</v>
      </c>
    </row>
    <row r="197" spans="1:22" s="1129" customFormat="1" x14ac:dyDescent="0.25">
      <c r="A197" s="1123">
        <v>4081800400</v>
      </c>
      <c r="B197" s="1125">
        <v>2</v>
      </c>
      <c r="C197" s="1125">
        <v>4</v>
      </c>
      <c r="D197" s="1127" t="s">
        <v>2211</v>
      </c>
      <c r="E197" s="1126" t="s">
        <v>2253</v>
      </c>
      <c r="F197" s="1125">
        <v>287</v>
      </c>
      <c r="G197" s="1126" t="s">
        <v>753</v>
      </c>
      <c r="H197" s="1125">
        <v>1</v>
      </c>
      <c r="I197" s="1175" t="s">
        <v>1285</v>
      </c>
      <c r="J197" s="1126">
        <v>1</v>
      </c>
      <c r="K197" s="1125">
        <v>24</v>
      </c>
      <c r="L197" s="1125">
        <v>1</v>
      </c>
      <c r="M197" s="1125">
        <v>1</v>
      </c>
      <c r="N197" s="1126" t="s">
        <v>1259</v>
      </c>
      <c r="O197" s="1125">
        <v>13</v>
      </c>
      <c r="P197" s="1164">
        <v>18000</v>
      </c>
      <c r="Q197" s="1164">
        <v>36679.18</v>
      </c>
      <c r="R197" s="1164">
        <v>54679.18</v>
      </c>
      <c r="S197" s="1164">
        <v>54679.18</v>
      </c>
      <c r="T197" s="1164">
        <v>54679.18</v>
      </c>
      <c r="U197" s="1164">
        <v>54679.18</v>
      </c>
      <c r="V197" s="1164">
        <v>54679.18</v>
      </c>
    </row>
    <row r="198" spans="1:22" s="1129" customFormat="1" x14ac:dyDescent="0.25">
      <c r="A198" s="1123">
        <v>4081800400</v>
      </c>
      <c r="B198" s="1125">
        <v>2</v>
      </c>
      <c r="C198" s="1125">
        <v>4</v>
      </c>
      <c r="D198" s="1127" t="s">
        <v>2211</v>
      </c>
      <c r="E198" s="1126" t="s">
        <v>2253</v>
      </c>
      <c r="F198" s="1125">
        <v>287</v>
      </c>
      <c r="G198" s="1126" t="s">
        <v>753</v>
      </c>
      <c r="H198" s="1125">
        <v>1</v>
      </c>
      <c r="I198" s="1175" t="s">
        <v>1290</v>
      </c>
      <c r="J198" s="1126">
        <v>1</v>
      </c>
      <c r="K198" s="1125">
        <v>24</v>
      </c>
      <c r="L198" s="1125">
        <v>1</v>
      </c>
      <c r="M198" s="1125">
        <v>1</v>
      </c>
      <c r="N198" s="1126" t="s">
        <v>1259</v>
      </c>
      <c r="O198" s="1125">
        <v>13</v>
      </c>
      <c r="P198" s="1164">
        <v>80000</v>
      </c>
      <c r="Q198" s="1164">
        <v>115990.09</v>
      </c>
      <c r="R198" s="1164">
        <v>195990.09</v>
      </c>
      <c r="S198" s="1164">
        <v>206808.88</v>
      </c>
      <c r="T198" s="1164">
        <v>206808.88</v>
      </c>
      <c r="U198" s="1164">
        <v>206808.88</v>
      </c>
      <c r="V198" s="1164">
        <v>206808.88</v>
      </c>
    </row>
    <row r="199" spans="1:22" s="1129" customFormat="1" x14ac:dyDescent="0.25">
      <c r="A199" s="1123">
        <v>4081800400</v>
      </c>
      <c r="B199" s="1125">
        <v>2</v>
      </c>
      <c r="C199" s="1125">
        <v>4</v>
      </c>
      <c r="D199" s="1127" t="s">
        <v>2211</v>
      </c>
      <c r="E199" s="1126" t="s">
        <v>2253</v>
      </c>
      <c r="F199" s="1125">
        <v>287</v>
      </c>
      <c r="G199" s="1126" t="s">
        <v>753</v>
      </c>
      <c r="H199" s="1125">
        <v>1</v>
      </c>
      <c r="I199" s="1175" t="s">
        <v>1291</v>
      </c>
      <c r="J199" s="1126">
        <v>1</v>
      </c>
      <c r="K199" s="1125">
        <v>24</v>
      </c>
      <c r="L199" s="1125">
        <v>1</v>
      </c>
      <c r="M199" s="1125">
        <v>1</v>
      </c>
      <c r="N199" s="1126" t="s">
        <v>1259</v>
      </c>
      <c r="O199" s="1125">
        <v>13</v>
      </c>
      <c r="P199" s="1164">
        <v>26000</v>
      </c>
      <c r="Q199" s="1164">
        <v>21753.39</v>
      </c>
      <c r="R199" s="1164">
        <v>47753.39</v>
      </c>
      <c r="S199" s="1164">
        <v>55883.06</v>
      </c>
      <c r="T199" s="1164">
        <v>55883.06</v>
      </c>
      <c r="U199" s="1164">
        <v>55883.06</v>
      </c>
      <c r="V199" s="1164">
        <v>55883.06</v>
      </c>
    </row>
    <row r="200" spans="1:22" s="1129" customFormat="1" x14ac:dyDescent="0.25">
      <c r="A200" s="1123">
        <v>4081800400</v>
      </c>
      <c r="B200" s="1125">
        <v>2</v>
      </c>
      <c r="C200" s="1125">
        <v>4</v>
      </c>
      <c r="D200" s="1127" t="s">
        <v>2211</v>
      </c>
      <c r="E200" s="1126" t="s">
        <v>2253</v>
      </c>
      <c r="F200" s="1125">
        <v>287</v>
      </c>
      <c r="G200" s="1126" t="s">
        <v>753</v>
      </c>
      <c r="H200" s="1125">
        <v>1</v>
      </c>
      <c r="I200" s="1175" t="s">
        <v>2209</v>
      </c>
      <c r="J200" s="1126">
        <v>1</v>
      </c>
      <c r="K200" s="1125">
        <v>24</v>
      </c>
      <c r="L200" s="1125">
        <v>1</v>
      </c>
      <c r="M200" s="1125">
        <v>1</v>
      </c>
      <c r="N200" s="1126" t="s">
        <v>1259</v>
      </c>
      <c r="O200" s="1125">
        <v>13</v>
      </c>
      <c r="P200" s="1164">
        <v>0</v>
      </c>
      <c r="Q200" s="1164">
        <v>2470.8000000000002</v>
      </c>
      <c r="R200" s="1164">
        <v>2470.8000000000002</v>
      </c>
      <c r="S200" s="1164">
        <v>2470.8000000000002</v>
      </c>
      <c r="T200" s="1164">
        <v>2470.8000000000002</v>
      </c>
      <c r="U200" s="1164">
        <v>2470.8000000000002</v>
      </c>
      <c r="V200" s="1164">
        <v>2470.8000000000002</v>
      </c>
    </row>
    <row r="201" spans="1:22" s="1129" customFormat="1" x14ac:dyDescent="0.25">
      <c r="A201" s="1123">
        <v>4081800400</v>
      </c>
      <c r="B201" s="1125">
        <v>2</v>
      </c>
      <c r="C201" s="1125">
        <v>4</v>
      </c>
      <c r="D201" s="1127" t="s">
        <v>2211</v>
      </c>
      <c r="E201" s="1126" t="s">
        <v>2253</v>
      </c>
      <c r="F201" s="1125">
        <v>287</v>
      </c>
      <c r="G201" s="1126" t="s">
        <v>753</v>
      </c>
      <c r="H201" s="1125">
        <v>1</v>
      </c>
      <c r="I201" s="1175" t="s">
        <v>2232</v>
      </c>
      <c r="J201" s="1126">
        <v>1</v>
      </c>
      <c r="K201" s="1125">
        <v>24</v>
      </c>
      <c r="L201" s="1125">
        <v>1</v>
      </c>
      <c r="M201" s="1125">
        <v>1</v>
      </c>
      <c r="N201" s="1126" t="s">
        <v>1259</v>
      </c>
      <c r="O201" s="1125">
        <v>13</v>
      </c>
      <c r="P201" s="1164">
        <v>0</v>
      </c>
      <c r="Q201" s="1164">
        <v>33252.06</v>
      </c>
      <c r="R201" s="1164">
        <v>33252.06</v>
      </c>
      <c r="S201" s="1164">
        <v>34981.06</v>
      </c>
      <c r="T201" s="1164">
        <v>34981.06</v>
      </c>
      <c r="U201" s="1164">
        <v>34981.06</v>
      </c>
      <c r="V201" s="1164">
        <v>34981.06</v>
      </c>
    </row>
    <row r="202" spans="1:22" s="1129" customFormat="1" x14ac:dyDescent="0.25">
      <c r="A202" s="1123">
        <v>4081800400</v>
      </c>
      <c r="B202" s="1125">
        <v>2</v>
      </c>
      <c r="C202" s="1125">
        <v>4</v>
      </c>
      <c r="D202" s="1127" t="s">
        <v>2211</v>
      </c>
      <c r="E202" s="1126" t="s">
        <v>2253</v>
      </c>
      <c r="F202" s="1125">
        <v>287</v>
      </c>
      <c r="G202" s="1126" t="s">
        <v>753</v>
      </c>
      <c r="H202" s="1125">
        <v>1</v>
      </c>
      <c r="I202" s="1175" t="s">
        <v>2231</v>
      </c>
      <c r="J202" s="1126">
        <v>1</v>
      </c>
      <c r="K202" s="1125">
        <v>24</v>
      </c>
      <c r="L202" s="1125">
        <v>1</v>
      </c>
      <c r="M202" s="1125">
        <v>1</v>
      </c>
      <c r="N202" s="1126" t="s">
        <v>1259</v>
      </c>
      <c r="O202" s="1125">
        <v>13</v>
      </c>
      <c r="P202" s="1164">
        <v>0</v>
      </c>
      <c r="Q202" s="1164">
        <v>621.11</v>
      </c>
      <c r="R202" s="1164">
        <v>621.11</v>
      </c>
      <c r="S202" s="1164">
        <v>2618.23</v>
      </c>
      <c r="T202" s="1164">
        <v>2618.23</v>
      </c>
      <c r="U202" s="1164">
        <v>2618.23</v>
      </c>
      <c r="V202" s="1164">
        <v>2618.23</v>
      </c>
    </row>
    <row r="203" spans="1:22" s="1129" customFormat="1" x14ac:dyDescent="0.25">
      <c r="A203" s="1123">
        <v>4081800400</v>
      </c>
      <c r="B203" s="1125">
        <v>2</v>
      </c>
      <c r="C203" s="1125">
        <v>4</v>
      </c>
      <c r="D203" s="1127" t="s">
        <v>2211</v>
      </c>
      <c r="E203" s="1126" t="s">
        <v>2253</v>
      </c>
      <c r="F203" s="1125">
        <v>287</v>
      </c>
      <c r="G203" s="1126" t="s">
        <v>753</v>
      </c>
      <c r="H203" s="1125">
        <v>1</v>
      </c>
      <c r="I203" s="1175" t="s">
        <v>2223</v>
      </c>
      <c r="J203" s="1126">
        <v>1</v>
      </c>
      <c r="K203" s="1125">
        <v>24</v>
      </c>
      <c r="L203" s="1125">
        <v>1</v>
      </c>
      <c r="M203" s="1125">
        <v>1</v>
      </c>
      <c r="N203" s="1126" t="s">
        <v>1259</v>
      </c>
      <c r="O203" s="1125">
        <v>13</v>
      </c>
      <c r="P203" s="1164">
        <v>10000</v>
      </c>
      <c r="Q203" s="1164">
        <v>-10000</v>
      </c>
      <c r="R203" s="1164">
        <v>0</v>
      </c>
      <c r="S203" s="1164">
        <v>0</v>
      </c>
      <c r="T203" s="1164">
        <v>0</v>
      </c>
      <c r="U203" s="1164">
        <v>0</v>
      </c>
      <c r="V203" s="1164">
        <v>0</v>
      </c>
    </row>
    <row r="204" spans="1:22" s="1129" customFormat="1" x14ac:dyDescent="0.25">
      <c r="A204" s="1123">
        <v>4081800400</v>
      </c>
      <c r="B204" s="1125">
        <v>2</v>
      </c>
      <c r="C204" s="1125">
        <v>4</v>
      </c>
      <c r="D204" s="1127" t="s">
        <v>2211</v>
      </c>
      <c r="E204" s="1126" t="s">
        <v>2253</v>
      </c>
      <c r="F204" s="1125">
        <v>287</v>
      </c>
      <c r="G204" s="1126" t="s">
        <v>753</v>
      </c>
      <c r="H204" s="1125">
        <v>1</v>
      </c>
      <c r="I204" s="1175" t="s">
        <v>1292</v>
      </c>
      <c r="J204" s="1126">
        <v>1</v>
      </c>
      <c r="K204" s="1125">
        <v>24</v>
      </c>
      <c r="L204" s="1125">
        <v>1</v>
      </c>
      <c r="M204" s="1125">
        <v>1</v>
      </c>
      <c r="N204" s="1126" t="s">
        <v>1259</v>
      </c>
      <c r="O204" s="1125">
        <v>13</v>
      </c>
      <c r="P204" s="1164">
        <v>0</v>
      </c>
      <c r="Q204" s="1164">
        <v>313</v>
      </c>
      <c r="R204" s="1164">
        <v>313</v>
      </c>
      <c r="S204" s="1164">
        <v>313</v>
      </c>
      <c r="T204" s="1164">
        <v>313</v>
      </c>
      <c r="U204" s="1164">
        <v>313</v>
      </c>
      <c r="V204" s="1164">
        <v>313</v>
      </c>
    </row>
    <row r="205" spans="1:22" s="1129" customFormat="1" x14ac:dyDescent="0.25">
      <c r="A205" s="1123">
        <v>4081800400</v>
      </c>
      <c r="B205" s="1125">
        <v>2</v>
      </c>
      <c r="C205" s="1125">
        <v>4</v>
      </c>
      <c r="D205" s="1127" t="s">
        <v>2211</v>
      </c>
      <c r="E205" s="1126" t="s">
        <v>2253</v>
      </c>
      <c r="F205" s="1125">
        <v>287</v>
      </c>
      <c r="G205" s="1126" t="s">
        <v>753</v>
      </c>
      <c r="H205" s="1125">
        <v>1</v>
      </c>
      <c r="I205" s="1175" t="s">
        <v>1293</v>
      </c>
      <c r="J205" s="1126">
        <v>1</v>
      </c>
      <c r="K205" s="1125">
        <v>24</v>
      </c>
      <c r="L205" s="1125">
        <v>1</v>
      </c>
      <c r="M205" s="1125">
        <v>1</v>
      </c>
      <c r="N205" s="1126" t="s">
        <v>1259</v>
      </c>
      <c r="O205" s="1125">
        <v>13</v>
      </c>
      <c r="P205" s="1164">
        <v>600000</v>
      </c>
      <c r="Q205" s="1164">
        <v>-186025</v>
      </c>
      <c r="R205" s="1164">
        <v>413975</v>
      </c>
      <c r="S205" s="1164">
        <v>413975</v>
      </c>
      <c r="T205" s="1164">
        <v>413975</v>
      </c>
      <c r="U205" s="1164">
        <v>413975</v>
      </c>
      <c r="V205" s="1164">
        <v>413975</v>
      </c>
    </row>
    <row r="206" spans="1:22" s="1129" customFormat="1" x14ac:dyDescent="0.25">
      <c r="A206" s="1123">
        <v>4081800400</v>
      </c>
      <c r="B206" s="1125">
        <v>2</v>
      </c>
      <c r="C206" s="1125">
        <v>4</v>
      </c>
      <c r="D206" s="1127" t="s">
        <v>2211</v>
      </c>
      <c r="E206" s="1126" t="s">
        <v>2253</v>
      </c>
      <c r="F206" s="1125">
        <v>287</v>
      </c>
      <c r="G206" s="1126" t="s">
        <v>753</v>
      </c>
      <c r="H206" s="1125">
        <v>1</v>
      </c>
      <c r="I206" s="1175" t="s">
        <v>2230</v>
      </c>
      <c r="J206" s="1126">
        <v>1</v>
      </c>
      <c r="K206" s="1125">
        <v>24</v>
      </c>
      <c r="L206" s="1125">
        <v>1</v>
      </c>
      <c r="M206" s="1125">
        <v>1</v>
      </c>
      <c r="N206" s="1126" t="s">
        <v>1259</v>
      </c>
      <c r="O206" s="1125">
        <v>13</v>
      </c>
      <c r="P206" s="1164">
        <v>69000</v>
      </c>
      <c r="Q206" s="1164">
        <v>-69000</v>
      </c>
      <c r="R206" s="1164">
        <v>0</v>
      </c>
      <c r="S206" s="1164">
        <v>0</v>
      </c>
      <c r="T206" s="1164">
        <v>0</v>
      </c>
      <c r="U206" s="1164">
        <v>0</v>
      </c>
      <c r="V206" s="1164">
        <v>0</v>
      </c>
    </row>
    <row r="207" spans="1:22" s="1129" customFormat="1" x14ac:dyDescent="0.25">
      <c r="A207" s="1123">
        <v>4081800400</v>
      </c>
      <c r="B207" s="1125">
        <v>2</v>
      </c>
      <c r="C207" s="1125">
        <v>4</v>
      </c>
      <c r="D207" s="1127" t="s">
        <v>2211</v>
      </c>
      <c r="E207" s="1126" t="s">
        <v>2253</v>
      </c>
      <c r="F207" s="1125">
        <v>287</v>
      </c>
      <c r="G207" s="1126" t="s">
        <v>753</v>
      </c>
      <c r="H207" s="1125">
        <v>1</v>
      </c>
      <c r="I207" s="1175" t="s">
        <v>1306</v>
      </c>
      <c r="J207" s="1126">
        <v>1</v>
      </c>
      <c r="K207" s="1125">
        <v>24</v>
      </c>
      <c r="L207" s="1125">
        <v>1</v>
      </c>
      <c r="M207" s="1125">
        <v>1</v>
      </c>
      <c r="N207" s="1126" t="s">
        <v>1259</v>
      </c>
      <c r="O207" s="1125">
        <v>13</v>
      </c>
      <c r="P207" s="1164">
        <v>0</v>
      </c>
      <c r="Q207" s="1164">
        <v>22286</v>
      </c>
      <c r="R207" s="1164">
        <v>22286</v>
      </c>
      <c r="S207" s="1164">
        <v>22286</v>
      </c>
      <c r="T207" s="1164">
        <v>22286</v>
      </c>
      <c r="U207" s="1164">
        <v>22286</v>
      </c>
      <c r="V207" s="1164">
        <v>22286</v>
      </c>
    </row>
    <row r="208" spans="1:22" s="1129" customFormat="1" x14ac:dyDescent="0.25">
      <c r="A208" s="1123">
        <v>4081800400</v>
      </c>
      <c r="B208" s="1125">
        <v>2</v>
      </c>
      <c r="C208" s="1125">
        <v>4</v>
      </c>
      <c r="D208" s="1127" t="s">
        <v>2211</v>
      </c>
      <c r="E208" s="1126" t="s">
        <v>2253</v>
      </c>
      <c r="F208" s="1125">
        <v>287</v>
      </c>
      <c r="G208" s="1126" t="s">
        <v>753</v>
      </c>
      <c r="H208" s="1125">
        <v>1</v>
      </c>
      <c r="I208" s="1175" t="s">
        <v>1307</v>
      </c>
      <c r="J208" s="1126">
        <v>1</v>
      </c>
      <c r="K208" s="1125">
        <v>24</v>
      </c>
      <c r="L208" s="1125">
        <v>1</v>
      </c>
      <c r="M208" s="1125">
        <v>1</v>
      </c>
      <c r="N208" s="1126" t="s">
        <v>1259</v>
      </c>
      <c r="O208" s="1125">
        <v>13</v>
      </c>
      <c r="P208" s="1164">
        <v>90000</v>
      </c>
      <c r="Q208" s="1164">
        <v>-75701.25</v>
      </c>
      <c r="R208" s="1164">
        <v>14298.75</v>
      </c>
      <c r="S208" s="1164">
        <v>14298.75</v>
      </c>
      <c r="T208" s="1164">
        <v>14298.75</v>
      </c>
      <c r="U208" s="1164">
        <v>14298.75</v>
      </c>
      <c r="V208" s="1164">
        <v>14298.75</v>
      </c>
    </row>
    <row r="209" spans="1:22" s="1129" customFormat="1" x14ac:dyDescent="0.25">
      <c r="A209" s="1123">
        <v>4081800400</v>
      </c>
      <c r="B209" s="1125">
        <v>2</v>
      </c>
      <c r="C209" s="1125">
        <v>4</v>
      </c>
      <c r="D209" s="1127" t="s">
        <v>2211</v>
      </c>
      <c r="E209" s="1126" t="s">
        <v>2253</v>
      </c>
      <c r="F209" s="1125">
        <v>287</v>
      </c>
      <c r="G209" s="1126" t="s">
        <v>753</v>
      </c>
      <c r="H209" s="1125">
        <v>1</v>
      </c>
      <c r="I209" s="1175" t="s">
        <v>1310</v>
      </c>
      <c r="J209" s="1126">
        <v>1</v>
      </c>
      <c r="K209" s="1125">
        <v>24</v>
      </c>
      <c r="L209" s="1125">
        <v>1</v>
      </c>
      <c r="M209" s="1125">
        <v>1</v>
      </c>
      <c r="N209" s="1126" t="s">
        <v>1259</v>
      </c>
      <c r="O209" s="1125">
        <v>13</v>
      </c>
      <c r="P209" s="1164">
        <v>24000</v>
      </c>
      <c r="Q209" s="1164">
        <v>8700</v>
      </c>
      <c r="R209" s="1164">
        <v>32700</v>
      </c>
      <c r="S209" s="1164">
        <v>32700</v>
      </c>
      <c r="T209" s="1164">
        <v>32700</v>
      </c>
      <c r="U209" s="1164">
        <v>32700</v>
      </c>
      <c r="V209" s="1164">
        <v>32700</v>
      </c>
    </row>
    <row r="210" spans="1:22" s="1129" customFormat="1" x14ac:dyDescent="0.25">
      <c r="A210" s="1123">
        <v>4081800400</v>
      </c>
      <c r="B210" s="1125">
        <v>2</v>
      </c>
      <c r="C210" s="1125">
        <v>4</v>
      </c>
      <c r="D210" s="1127" t="s">
        <v>2211</v>
      </c>
      <c r="E210" s="1126" t="s">
        <v>2253</v>
      </c>
      <c r="F210" s="1125">
        <v>287</v>
      </c>
      <c r="G210" s="1126" t="s">
        <v>753</v>
      </c>
      <c r="H210" s="1125">
        <v>1</v>
      </c>
      <c r="I210" s="1175" t="s">
        <v>1311</v>
      </c>
      <c r="J210" s="1126">
        <v>1</v>
      </c>
      <c r="K210" s="1125">
        <v>24</v>
      </c>
      <c r="L210" s="1125">
        <v>1</v>
      </c>
      <c r="M210" s="1125">
        <v>1</v>
      </c>
      <c r="N210" s="1126" t="s">
        <v>1259</v>
      </c>
      <c r="O210" s="1125">
        <v>13</v>
      </c>
      <c r="P210" s="1164">
        <v>10400</v>
      </c>
      <c r="Q210" s="1164">
        <v>-300</v>
      </c>
      <c r="R210" s="1164">
        <v>10100</v>
      </c>
      <c r="S210" s="1164">
        <v>10100</v>
      </c>
      <c r="T210" s="1164">
        <v>10100</v>
      </c>
      <c r="U210" s="1164">
        <v>10100</v>
      </c>
      <c r="V210" s="1164">
        <v>10100</v>
      </c>
    </row>
    <row r="211" spans="1:22" s="1129" customFormat="1" x14ac:dyDescent="0.25">
      <c r="A211" s="1123">
        <v>4081800400</v>
      </c>
      <c r="B211" s="1125">
        <v>2</v>
      </c>
      <c r="C211" s="1125">
        <v>4</v>
      </c>
      <c r="D211" s="1127" t="s">
        <v>2211</v>
      </c>
      <c r="E211" s="1126" t="s">
        <v>2253</v>
      </c>
      <c r="F211" s="1125">
        <v>287</v>
      </c>
      <c r="G211" s="1126" t="s">
        <v>753</v>
      </c>
      <c r="H211" s="1125">
        <v>1</v>
      </c>
      <c r="I211" s="1175" t="s">
        <v>2248</v>
      </c>
      <c r="J211" s="1126">
        <v>1</v>
      </c>
      <c r="K211" s="1125">
        <v>24</v>
      </c>
      <c r="L211" s="1125">
        <v>1</v>
      </c>
      <c r="M211" s="1125">
        <v>1</v>
      </c>
      <c r="N211" s="1126" t="s">
        <v>1259</v>
      </c>
      <c r="O211" s="1125">
        <v>13</v>
      </c>
      <c r="P211" s="1164">
        <v>0</v>
      </c>
      <c r="Q211" s="1164">
        <v>27224.3</v>
      </c>
      <c r="R211" s="1164">
        <v>27224.3</v>
      </c>
      <c r="S211" s="1164">
        <v>27224.3</v>
      </c>
      <c r="T211" s="1164">
        <v>27224.3</v>
      </c>
      <c r="U211" s="1164">
        <v>27224.3</v>
      </c>
      <c r="V211" s="1164">
        <v>27224.3</v>
      </c>
    </row>
    <row r="212" spans="1:22" s="1129" customFormat="1" x14ac:dyDescent="0.25">
      <c r="A212" s="1123">
        <v>4081800400</v>
      </c>
      <c r="B212" s="1125">
        <v>2</v>
      </c>
      <c r="C212" s="1125">
        <v>4</v>
      </c>
      <c r="D212" s="1127" t="s">
        <v>2211</v>
      </c>
      <c r="E212" s="1126" t="s">
        <v>2253</v>
      </c>
      <c r="F212" s="1125">
        <v>287</v>
      </c>
      <c r="G212" s="1126" t="s">
        <v>753</v>
      </c>
      <c r="H212" s="1125">
        <v>1</v>
      </c>
      <c r="I212" s="1175" t="s">
        <v>1312</v>
      </c>
      <c r="J212" s="1126">
        <v>1</v>
      </c>
      <c r="K212" s="1125">
        <v>24</v>
      </c>
      <c r="L212" s="1125">
        <v>1</v>
      </c>
      <c r="M212" s="1125">
        <v>1</v>
      </c>
      <c r="N212" s="1126" t="s">
        <v>1259</v>
      </c>
      <c r="O212" s="1125">
        <v>13</v>
      </c>
      <c r="P212" s="1164">
        <v>3000</v>
      </c>
      <c r="Q212" s="1164">
        <v>-924</v>
      </c>
      <c r="R212" s="1164">
        <v>2076</v>
      </c>
      <c r="S212" s="1164">
        <v>2076</v>
      </c>
      <c r="T212" s="1164">
        <v>2076</v>
      </c>
      <c r="U212" s="1164">
        <v>2076</v>
      </c>
      <c r="V212" s="1164">
        <v>2076</v>
      </c>
    </row>
    <row r="213" spans="1:22" s="1129" customFormat="1" x14ac:dyDescent="0.25">
      <c r="A213" s="1123">
        <v>4081800400</v>
      </c>
      <c r="B213" s="1125">
        <v>2</v>
      </c>
      <c r="C213" s="1125">
        <v>4</v>
      </c>
      <c r="D213" s="1127" t="s">
        <v>2211</v>
      </c>
      <c r="E213" s="1126" t="s">
        <v>2253</v>
      </c>
      <c r="F213" s="1125">
        <v>287</v>
      </c>
      <c r="G213" s="1126" t="s">
        <v>753</v>
      </c>
      <c r="H213" s="1125">
        <v>1</v>
      </c>
      <c r="I213" s="1175" t="s">
        <v>1313</v>
      </c>
      <c r="J213" s="1126">
        <v>1</v>
      </c>
      <c r="K213" s="1125">
        <v>24</v>
      </c>
      <c r="L213" s="1125">
        <v>1</v>
      </c>
      <c r="M213" s="1125">
        <v>1</v>
      </c>
      <c r="N213" s="1126" t="s">
        <v>1259</v>
      </c>
      <c r="O213" s="1125">
        <v>13</v>
      </c>
      <c r="P213" s="1164">
        <v>0</v>
      </c>
      <c r="Q213" s="1164">
        <v>4670</v>
      </c>
      <c r="R213" s="1164">
        <v>4670</v>
      </c>
      <c r="S213" s="1164">
        <v>4670</v>
      </c>
      <c r="T213" s="1164">
        <v>4670</v>
      </c>
      <c r="U213" s="1164">
        <v>4670</v>
      </c>
      <c r="V213" s="1164">
        <v>4670</v>
      </c>
    </row>
    <row r="214" spans="1:22" s="1129" customFormat="1" x14ac:dyDescent="0.25">
      <c r="A214" s="1123">
        <v>4081800400</v>
      </c>
      <c r="B214" s="1125">
        <v>2</v>
      </c>
      <c r="C214" s="1125">
        <v>4</v>
      </c>
      <c r="D214" s="1127" t="s">
        <v>2211</v>
      </c>
      <c r="E214" s="1126" t="s">
        <v>2253</v>
      </c>
      <c r="F214" s="1125">
        <v>287</v>
      </c>
      <c r="G214" s="1126" t="s">
        <v>753</v>
      </c>
      <c r="H214" s="1125">
        <v>1</v>
      </c>
      <c r="I214" s="1175" t="s">
        <v>2219</v>
      </c>
      <c r="J214" s="1126">
        <v>1</v>
      </c>
      <c r="K214" s="1125">
        <v>24</v>
      </c>
      <c r="L214" s="1125">
        <v>1</v>
      </c>
      <c r="M214" s="1125">
        <v>1</v>
      </c>
      <c r="N214" s="1126" t="s">
        <v>1259</v>
      </c>
      <c r="O214" s="1125">
        <v>13</v>
      </c>
      <c r="P214" s="1164">
        <v>485000</v>
      </c>
      <c r="Q214" s="1164">
        <v>-454529.12</v>
      </c>
      <c r="R214" s="1164">
        <v>30470.880000000001</v>
      </c>
      <c r="S214" s="1164">
        <v>30470.880000000001</v>
      </c>
      <c r="T214" s="1164">
        <v>30470.880000000001</v>
      </c>
      <c r="U214" s="1164">
        <v>30470.880000000001</v>
      </c>
      <c r="V214" s="1164">
        <v>30470.880000000001</v>
      </c>
    </row>
    <row r="215" spans="1:22" s="1190" customFormat="1" x14ac:dyDescent="0.25">
      <c r="A215" s="1123">
        <v>4081800400</v>
      </c>
      <c r="B215" s="1125">
        <v>2</v>
      </c>
      <c r="C215" s="1125">
        <v>4</v>
      </c>
      <c r="D215" s="1127" t="s">
        <v>2211</v>
      </c>
      <c r="E215" s="1126" t="s">
        <v>2253</v>
      </c>
      <c r="F215" s="1125">
        <v>287</v>
      </c>
      <c r="G215" s="1126" t="s">
        <v>753</v>
      </c>
      <c r="H215" s="1125">
        <v>1</v>
      </c>
      <c r="I215" s="1175" t="s">
        <v>2221</v>
      </c>
      <c r="J215" s="1126">
        <v>1</v>
      </c>
      <c r="K215" s="1125">
        <v>24</v>
      </c>
      <c r="L215" s="1125">
        <v>1</v>
      </c>
      <c r="M215" s="1125">
        <v>1</v>
      </c>
      <c r="N215" s="1126" t="s">
        <v>1259</v>
      </c>
      <c r="O215" s="1125">
        <v>13</v>
      </c>
      <c r="P215" s="1164">
        <v>0</v>
      </c>
      <c r="Q215" s="1164">
        <v>1450000</v>
      </c>
      <c r="R215" s="1164">
        <v>1450000</v>
      </c>
      <c r="S215" s="1164">
        <v>0</v>
      </c>
      <c r="T215" s="1164">
        <v>0</v>
      </c>
      <c r="U215" s="1164">
        <v>0</v>
      </c>
      <c r="V215" s="1164">
        <v>0</v>
      </c>
    </row>
    <row r="216" spans="1:22" s="1190" customFormat="1" x14ac:dyDescent="0.25">
      <c r="A216" s="1123">
        <v>4081800500</v>
      </c>
      <c r="B216" s="1125">
        <v>2</v>
      </c>
      <c r="C216" s="1125">
        <v>4</v>
      </c>
      <c r="D216" s="1127" t="s">
        <v>2211</v>
      </c>
      <c r="E216" s="1126" t="s">
        <v>2253</v>
      </c>
      <c r="F216" s="1125">
        <v>287</v>
      </c>
      <c r="G216" s="1126" t="s">
        <v>753</v>
      </c>
      <c r="H216" s="1125">
        <v>1</v>
      </c>
      <c r="I216" s="1175" t="s">
        <v>1260</v>
      </c>
      <c r="J216" s="1126">
        <v>1</v>
      </c>
      <c r="K216" s="1125">
        <v>24</v>
      </c>
      <c r="L216" s="1125">
        <v>1</v>
      </c>
      <c r="M216" s="1125">
        <v>1</v>
      </c>
      <c r="N216" s="1126" t="s">
        <v>1259</v>
      </c>
      <c r="O216" s="1125">
        <v>13</v>
      </c>
      <c r="P216" s="1164">
        <v>1386557.76</v>
      </c>
      <c r="Q216" s="1164">
        <v>340417.46</v>
      </c>
      <c r="R216" s="1164">
        <v>1726975.22</v>
      </c>
      <c r="S216" s="1164">
        <v>1726975.22</v>
      </c>
      <c r="T216" s="1164">
        <v>1726975.22</v>
      </c>
      <c r="U216" s="1164">
        <v>1726975.22</v>
      </c>
      <c r="V216" s="1164">
        <v>1726975.22</v>
      </c>
    </row>
    <row r="217" spans="1:22" s="1190" customFormat="1" x14ac:dyDescent="0.25">
      <c r="A217" s="1123">
        <v>4081800500</v>
      </c>
      <c r="B217" s="1125">
        <v>2</v>
      </c>
      <c r="C217" s="1125">
        <v>4</v>
      </c>
      <c r="D217" s="1127" t="s">
        <v>2211</v>
      </c>
      <c r="E217" s="1126" t="s">
        <v>2253</v>
      </c>
      <c r="F217" s="1125">
        <v>287</v>
      </c>
      <c r="G217" s="1126" t="s">
        <v>753</v>
      </c>
      <c r="H217" s="1125">
        <v>1</v>
      </c>
      <c r="I217" s="1175" t="s">
        <v>1261</v>
      </c>
      <c r="J217" s="1126">
        <v>1</v>
      </c>
      <c r="K217" s="1125">
        <v>24</v>
      </c>
      <c r="L217" s="1125">
        <v>1</v>
      </c>
      <c r="M217" s="1125">
        <v>1</v>
      </c>
      <c r="N217" s="1126" t="s">
        <v>1259</v>
      </c>
      <c r="O217" s="1125">
        <v>13</v>
      </c>
      <c r="P217" s="1164">
        <v>31200</v>
      </c>
      <c r="Q217" s="1164">
        <v>-11300</v>
      </c>
      <c r="R217" s="1164">
        <v>19900</v>
      </c>
      <c r="S217" s="1164">
        <v>19900</v>
      </c>
      <c r="T217" s="1164">
        <v>19900</v>
      </c>
      <c r="U217" s="1164">
        <v>19900</v>
      </c>
      <c r="V217" s="1164">
        <v>19900</v>
      </c>
    </row>
    <row r="218" spans="1:22" s="1190" customFormat="1" x14ac:dyDescent="0.25">
      <c r="A218" s="1123">
        <v>4081800500</v>
      </c>
      <c r="B218" s="1125">
        <v>2</v>
      </c>
      <c r="C218" s="1125">
        <v>4</v>
      </c>
      <c r="D218" s="1127" t="s">
        <v>2211</v>
      </c>
      <c r="E218" s="1126" t="s">
        <v>2253</v>
      </c>
      <c r="F218" s="1125">
        <v>287</v>
      </c>
      <c r="G218" s="1126" t="s">
        <v>753</v>
      </c>
      <c r="H218" s="1125">
        <v>1</v>
      </c>
      <c r="I218" s="1175" t="s">
        <v>1262</v>
      </c>
      <c r="J218" s="1126">
        <v>1</v>
      </c>
      <c r="K218" s="1125">
        <v>24</v>
      </c>
      <c r="L218" s="1125">
        <v>1</v>
      </c>
      <c r="M218" s="1125">
        <v>1</v>
      </c>
      <c r="N218" s="1126" t="s">
        <v>1259</v>
      </c>
      <c r="O218" s="1125">
        <v>13</v>
      </c>
      <c r="P218" s="1164">
        <v>32799.120000000003</v>
      </c>
      <c r="Q218" s="1164">
        <v>6754.86</v>
      </c>
      <c r="R218" s="1164">
        <v>39553.980000000003</v>
      </c>
      <c r="S218" s="1164">
        <v>39553.980000000003</v>
      </c>
      <c r="T218" s="1164">
        <v>39553.980000000003</v>
      </c>
      <c r="U218" s="1164">
        <v>39553.980000000003</v>
      </c>
      <c r="V218" s="1164">
        <v>39553.980000000003</v>
      </c>
    </row>
    <row r="219" spans="1:22" s="1190" customFormat="1" x14ac:dyDescent="0.25">
      <c r="A219" s="1123">
        <v>4081800500</v>
      </c>
      <c r="B219" s="1125">
        <v>2</v>
      </c>
      <c r="C219" s="1125">
        <v>4</v>
      </c>
      <c r="D219" s="1127" t="s">
        <v>2211</v>
      </c>
      <c r="E219" s="1126" t="s">
        <v>2253</v>
      </c>
      <c r="F219" s="1125">
        <v>287</v>
      </c>
      <c r="G219" s="1126" t="s">
        <v>753</v>
      </c>
      <c r="H219" s="1125">
        <v>1</v>
      </c>
      <c r="I219" s="1175" t="s">
        <v>1263</v>
      </c>
      <c r="J219" s="1126">
        <v>1</v>
      </c>
      <c r="K219" s="1125">
        <v>24</v>
      </c>
      <c r="L219" s="1125">
        <v>1</v>
      </c>
      <c r="M219" s="1125">
        <v>1</v>
      </c>
      <c r="N219" s="1126" t="s">
        <v>1259</v>
      </c>
      <c r="O219" s="1125">
        <v>13</v>
      </c>
      <c r="P219" s="1164">
        <v>381898.56</v>
      </c>
      <c r="Q219" s="1164">
        <v>103673.2</v>
      </c>
      <c r="R219" s="1164">
        <v>485571.76</v>
      </c>
      <c r="S219" s="1164">
        <v>485571.76</v>
      </c>
      <c r="T219" s="1164">
        <v>485571.76</v>
      </c>
      <c r="U219" s="1164">
        <v>485571.76</v>
      </c>
      <c r="V219" s="1164">
        <v>485571.76</v>
      </c>
    </row>
    <row r="220" spans="1:22" s="1190" customFormat="1" x14ac:dyDescent="0.25">
      <c r="A220" s="1123">
        <v>4081800500</v>
      </c>
      <c r="B220" s="1125">
        <v>2</v>
      </c>
      <c r="C220" s="1125">
        <v>4</v>
      </c>
      <c r="D220" s="1127" t="s">
        <v>2211</v>
      </c>
      <c r="E220" s="1126" t="s">
        <v>2253</v>
      </c>
      <c r="F220" s="1125">
        <v>287</v>
      </c>
      <c r="G220" s="1126" t="s">
        <v>753</v>
      </c>
      <c r="H220" s="1125">
        <v>1</v>
      </c>
      <c r="I220" s="1175" t="s">
        <v>1264</v>
      </c>
      <c r="J220" s="1126">
        <v>1</v>
      </c>
      <c r="K220" s="1125">
        <v>24</v>
      </c>
      <c r="L220" s="1125">
        <v>1</v>
      </c>
      <c r="M220" s="1125">
        <v>1</v>
      </c>
      <c r="N220" s="1126" t="s">
        <v>1259</v>
      </c>
      <c r="O220" s="1125">
        <v>13</v>
      </c>
      <c r="P220" s="1164">
        <v>82806.47</v>
      </c>
      <c r="Q220" s="1164">
        <v>-16593.45</v>
      </c>
      <c r="R220" s="1164">
        <v>66213.02</v>
      </c>
      <c r="S220" s="1164">
        <v>66213.02</v>
      </c>
      <c r="T220" s="1164">
        <v>66213.02</v>
      </c>
      <c r="U220" s="1164">
        <v>66213.02</v>
      </c>
      <c r="V220" s="1164">
        <v>66213.02</v>
      </c>
    </row>
    <row r="221" spans="1:22" s="1190" customFormat="1" x14ac:dyDescent="0.25">
      <c r="A221" s="1123">
        <v>4081800500</v>
      </c>
      <c r="B221" s="1125">
        <v>2</v>
      </c>
      <c r="C221" s="1125">
        <v>4</v>
      </c>
      <c r="D221" s="1127" t="s">
        <v>2211</v>
      </c>
      <c r="E221" s="1126" t="s">
        <v>2253</v>
      </c>
      <c r="F221" s="1125">
        <v>287</v>
      </c>
      <c r="G221" s="1126" t="s">
        <v>753</v>
      </c>
      <c r="H221" s="1125">
        <v>1</v>
      </c>
      <c r="I221" s="1175" t="s">
        <v>1265</v>
      </c>
      <c r="J221" s="1126">
        <v>1</v>
      </c>
      <c r="K221" s="1125">
        <v>24</v>
      </c>
      <c r="L221" s="1125">
        <v>1</v>
      </c>
      <c r="M221" s="1125">
        <v>1</v>
      </c>
      <c r="N221" s="1126" t="s">
        <v>1259</v>
      </c>
      <c r="O221" s="1125">
        <v>13</v>
      </c>
      <c r="P221" s="1164">
        <v>107101.21</v>
      </c>
      <c r="Q221" s="1164">
        <v>48568.17</v>
      </c>
      <c r="R221" s="1164">
        <v>155669.38</v>
      </c>
      <c r="S221" s="1164">
        <v>155669.38</v>
      </c>
      <c r="T221" s="1164">
        <v>155669.38</v>
      </c>
      <c r="U221" s="1164">
        <v>155669.38</v>
      </c>
      <c r="V221" s="1164">
        <v>155669.38</v>
      </c>
    </row>
    <row r="222" spans="1:22" s="1190" customFormat="1" x14ac:dyDescent="0.25">
      <c r="A222" s="1123">
        <v>4081800500</v>
      </c>
      <c r="B222" s="1125">
        <v>2</v>
      </c>
      <c r="C222" s="1125">
        <v>4</v>
      </c>
      <c r="D222" s="1127" t="s">
        <v>2211</v>
      </c>
      <c r="E222" s="1126" t="s">
        <v>2253</v>
      </c>
      <c r="F222" s="1125">
        <v>287</v>
      </c>
      <c r="G222" s="1126" t="s">
        <v>753</v>
      </c>
      <c r="H222" s="1125">
        <v>1</v>
      </c>
      <c r="I222" s="1175" t="s">
        <v>1266</v>
      </c>
      <c r="J222" s="1126">
        <v>1</v>
      </c>
      <c r="K222" s="1125">
        <v>24</v>
      </c>
      <c r="L222" s="1125">
        <v>1</v>
      </c>
      <c r="M222" s="1125">
        <v>1</v>
      </c>
      <c r="N222" s="1126" t="s">
        <v>1259</v>
      </c>
      <c r="O222" s="1125">
        <v>13</v>
      </c>
      <c r="P222" s="1164">
        <v>234869.09</v>
      </c>
      <c r="Q222" s="1164">
        <v>119099.66</v>
      </c>
      <c r="R222" s="1164">
        <v>353968.75</v>
      </c>
      <c r="S222" s="1164">
        <v>353968.75</v>
      </c>
      <c r="T222" s="1164">
        <v>353968.75</v>
      </c>
      <c r="U222" s="1164">
        <v>353968.75</v>
      </c>
      <c r="V222" s="1164">
        <v>353968.75</v>
      </c>
    </row>
    <row r="223" spans="1:22" s="1190" customFormat="1" x14ac:dyDescent="0.25">
      <c r="A223" s="1123">
        <v>4081800500</v>
      </c>
      <c r="B223" s="1125">
        <v>2</v>
      </c>
      <c r="C223" s="1125">
        <v>4</v>
      </c>
      <c r="D223" s="1127" t="s">
        <v>2211</v>
      </c>
      <c r="E223" s="1126" t="s">
        <v>2253</v>
      </c>
      <c r="F223" s="1125">
        <v>287</v>
      </c>
      <c r="G223" s="1126" t="s">
        <v>753</v>
      </c>
      <c r="H223" s="1125">
        <v>1</v>
      </c>
      <c r="I223" s="1175" t="s">
        <v>2119</v>
      </c>
      <c r="J223" s="1126">
        <v>1</v>
      </c>
      <c r="K223" s="1125">
        <v>24</v>
      </c>
      <c r="L223" s="1125">
        <v>1</v>
      </c>
      <c r="M223" s="1125">
        <v>1</v>
      </c>
      <c r="N223" s="1126" t="s">
        <v>1259</v>
      </c>
      <c r="O223" s="1125">
        <v>13</v>
      </c>
      <c r="P223" s="1164">
        <v>26775.3</v>
      </c>
      <c r="Q223" s="1164">
        <v>15287.21</v>
      </c>
      <c r="R223" s="1164">
        <v>42062.51</v>
      </c>
      <c r="S223" s="1164">
        <v>42062.51</v>
      </c>
      <c r="T223" s="1164">
        <v>42062.51</v>
      </c>
      <c r="U223" s="1164">
        <v>42062.51</v>
      </c>
      <c r="V223" s="1164">
        <v>42062.51</v>
      </c>
    </row>
    <row r="224" spans="1:22" s="1129" customFormat="1" x14ac:dyDescent="0.25">
      <c r="A224" s="1123">
        <v>4081800500</v>
      </c>
      <c r="B224" s="1125">
        <v>2</v>
      </c>
      <c r="C224" s="1125">
        <v>4</v>
      </c>
      <c r="D224" s="1127" t="s">
        <v>2211</v>
      </c>
      <c r="E224" s="1126" t="s">
        <v>2253</v>
      </c>
      <c r="F224" s="1125">
        <v>287</v>
      </c>
      <c r="G224" s="1126" t="s">
        <v>753</v>
      </c>
      <c r="H224" s="1125">
        <v>1</v>
      </c>
      <c r="I224" s="1175" t="s">
        <v>2120</v>
      </c>
      <c r="J224" s="1126">
        <v>1</v>
      </c>
      <c r="K224" s="1125">
        <v>24</v>
      </c>
      <c r="L224" s="1125">
        <v>1</v>
      </c>
      <c r="M224" s="1125">
        <v>1</v>
      </c>
      <c r="N224" s="1126" t="s">
        <v>1259</v>
      </c>
      <c r="O224" s="1125">
        <v>13</v>
      </c>
      <c r="P224" s="1164">
        <v>26775.3</v>
      </c>
      <c r="Q224" s="1164">
        <v>6001.81</v>
      </c>
      <c r="R224" s="1164">
        <v>32777.11</v>
      </c>
      <c r="S224" s="1164">
        <v>32777.11</v>
      </c>
      <c r="T224" s="1164">
        <v>32777.11</v>
      </c>
      <c r="U224" s="1164">
        <v>32777.11</v>
      </c>
      <c r="V224" s="1164">
        <v>32777.11</v>
      </c>
    </row>
    <row r="225" spans="1:22" s="1129" customFormat="1" x14ac:dyDescent="0.25">
      <c r="A225" s="1123">
        <v>4081800500</v>
      </c>
      <c r="B225" s="1125">
        <v>2</v>
      </c>
      <c r="C225" s="1125">
        <v>4</v>
      </c>
      <c r="D225" s="1127" t="s">
        <v>2211</v>
      </c>
      <c r="E225" s="1126" t="s">
        <v>2253</v>
      </c>
      <c r="F225" s="1125">
        <v>287</v>
      </c>
      <c r="G225" s="1126" t="s">
        <v>753</v>
      </c>
      <c r="H225" s="1125">
        <v>1</v>
      </c>
      <c r="I225" s="1175" t="s">
        <v>1267</v>
      </c>
      <c r="J225" s="1126">
        <v>1</v>
      </c>
      <c r="K225" s="1125">
        <v>24</v>
      </c>
      <c r="L225" s="1125">
        <v>1</v>
      </c>
      <c r="M225" s="1125">
        <v>1</v>
      </c>
      <c r="N225" s="1126" t="s">
        <v>1259</v>
      </c>
      <c r="O225" s="1125">
        <v>13</v>
      </c>
      <c r="P225" s="1164">
        <v>136.80000000000001</v>
      </c>
      <c r="Q225" s="1164">
        <v>10.83</v>
      </c>
      <c r="R225" s="1164">
        <v>147.63</v>
      </c>
      <c r="S225" s="1164">
        <v>147.63</v>
      </c>
      <c r="T225" s="1164">
        <v>147.63</v>
      </c>
      <c r="U225" s="1164">
        <v>147.63</v>
      </c>
      <c r="V225" s="1164">
        <v>147.63</v>
      </c>
    </row>
    <row r="226" spans="1:22" s="1129" customFormat="1" x14ac:dyDescent="0.25">
      <c r="A226" s="1123">
        <v>4081800500</v>
      </c>
      <c r="B226" s="1125">
        <v>2</v>
      </c>
      <c r="C226" s="1125">
        <v>4</v>
      </c>
      <c r="D226" s="1127" t="s">
        <v>2211</v>
      </c>
      <c r="E226" s="1126" t="s">
        <v>2253</v>
      </c>
      <c r="F226" s="1125">
        <v>287</v>
      </c>
      <c r="G226" s="1126" t="s">
        <v>753</v>
      </c>
      <c r="H226" s="1125">
        <v>1</v>
      </c>
      <c r="I226" s="1175" t="s">
        <v>1268</v>
      </c>
      <c r="J226" s="1126">
        <v>1</v>
      </c>
      <c r="K226" s="1125">
        <v>24</v>
      </c>
      <c r="L226" s="1125">
        <v>1</v>
      </c>
      <c r="M226" s="1125">
        <v>1</v>
      </c>
      <c r="N226" s="1126" t="s">
        <v>1259</v>
      </c>
      <c r="O226" s="1125">
        <v>13</v>
      </c>
      <c r="P226" s="1164">
        <v>1363.2</v>
      </c>
      <c r="Q226" s="1164">
        <v>106.97</v>
      </c>
      <c r="R226" s="1164">
        <v>1470.17</v>
      </c>
      <c r="S226" s="1164">
        <v>1470.17</v>
      </c>
      <c r="T226" s="1164">
        <v>1470.17</v>
      </c>
      <c r="U226" s="1164">
        <v>1470.17</v>
      </c>
      <c r="V226" s="1164">
        <v>1470.17</v>
      </c>
    </row>
    <row r="227" spans="1:22" s="1129" customFormat="1" x14ac:dyDescent="0.25">
      <c r="A227" s="1123">
        <v>4081800500</v>
      </c>
      <c r="B227" s="1125">
        <v>2</v>
      </c>
      <c r="C227" s="1125">
        <v>4</v>
      </c>
      <c r="D227" s="1127" t="s">
        <v>2211</v>
      </c>
      <c r="E227" s="1126" t="s">
        <v>2253</v>
      </c>
      <c r="F227" s="1125">
        <v>287</v>
      </c>
      <c r="G227" s="1126" t="s">
        <v>753</v>
      </c>
      <c r="H227" s="1125">
        <v>1</v>
      </c>
      <c r="I227" s="1175" t="s">
        <v>1269</v>
      </c>
      <c r="J227" s="1126">
        <v>1</v>
      </c>
      <c r="K227" s="1125">
        <v>24</v>
      </c>
      <c r="L227" s="1125">
        <v>1</v>
      </c>
      <c r="M227" s="1125">
        <v>1</v>
      </c>
      <c r="N227" s="1126" t="s">
        <v>1259</v>
      </c>
      <c r="O227" s="1125">
        <v>13</v>
      </c>
      <c r="P227" s="1164">
        <v>10911.84</v>
      </c>
      <c r="Q227" s="1164">
        <v>2961.51</v>
      </c>
      <c r="R227" s="1164">
        <v>13873.35</v>
      </c>
      <c r="S227" s="1164">
        <v>13873.35</v>
      </c>
      <c r="T227" s="1164">
        <v>13873.35</v>
      </c>
      <c r="U227" s="1164">
        <v>13873.35</v>
      </c>
      <c r="V227" s="1164">
        <v>13873.35</v>
      </c>
    </row>
    <row r="228" spans="1:22" s="1129" customFormat="1" x14ac:dyDescent="0.25">
      <c r="A228" s="1123">
        <v>4081800500</v>
      </c>
      <c r="B228" s="1125">
        <v>2</v>
      </c>
      <c r="C228" s="1125">
        <v>4</v>
      </c>
      <c r="D228" s="1127" t="s">
        <v>2211</v>
      </c>
      <c r="E228" s="1126" t="s">
        <v>2253</v>
      </c>
      <c r="F228" s="1125">
        <v>287</v>
      </c>
      <c r="G228" s="1126" t="s">
        <v>753</v>
      </c>
      <c r="H228" s="1125">
        <v>1</v>
      </c>
      <c r="I228" s="1175" t="s">
        <v>1270</v>
      </c>
      <c r="J228" s="1126">
        <v>1</v>
      </c>
      <c r="K228" s="1125">
        <v>24</v>
      </c>
      <c r="L228" s="1125">
        <v>1</v>
      </c>
      <c r="M228" s="1125">
        <v>1</v>
      </c>
      <c r="N228" s="1126" t="s">
        <v>1259</v>
      </c>
      <c r="O228" s="1125">
        <v>13</v>
      </c>
      <c r="P228" s="1164">
        <v>65468.88</v>
      </c>
      <c r="Q228" s="1164">
        <v>17771.87</v>
      </c>
      <c r="R228" s="1164">
        <v>83240.75</v>
      </c>
      <c r="S228" s="1164">
        <v>83240.75</v>
      </c>
      <c r="T228" s="1164">
        <v>83240.75</v>
      </c>
      <c r="U228" s="1164">
        <v>83240.75</v>
      </c>
      <c r="V228" s="1164">
        <v>83240.75</v>
      </c>
    </row>
    <row r="229" spans="1:22" s="1129" customFormat="1" x14ac:dyDescent="0.25">
      <c r="A229" s="1123">
        <v>4081800500</v>
      </c>
      <c r="B229" s="1125">
        <v>2</v>
      </c>
      <c r="C229" s="1125">
        <v>4</v>
      </c>
      <c r="D229" s="1127" t="s">
        <v>2211</v>
      </c>
      <c r="E229" s="1126" t="s">
        <v>2253</v>
      </c>
      <c r="F229" s="1125">
        <v>287</v>
      </c>
      <c r="G229" s="1126" t="s">
        <v>753</v>
      </c>
      <c r="H229" s="1125">
        <v>1</v>
      </c>
      <c r="I229" s="1175" t="s">
        <v>1271</v>
      </c>
      <c r="J229" s="1126">
        <v>1</v>
      </c>
      <c r="K229" s="1125">
        <v>24</v>
      </c>
      <c r="L229" s="1125">
        <v>1</v>
      </c>
      <c r="M229" s="1125">
        <v>1</v>
      </c>
      <c r="N229" s="1126" t="s">
        <v>1259</v>
      </c>
      <c r="O229" s="1125">
        <v>13</v>
      </c>
      <c r="P229" s="1164">
        <v>21822.48</v>
      </c>
      <c r="Q229" s="1164">
        <v>5924.42</v>
      </c>
      <c r="R229" s="1164">
        <v>27746.9</v>
      </c>
      <c r="S229" s="1164">
        <v>27746.9</v>
      </c>
      <c r="T229" s="1164">
        <v>27746.9</v>
      </c>
      <c r="U229" s="1164">
        <v>27746.9</v>
      </c>
      <c r="V229" s="1164">
        <v>27746.9</v>
      </c>
    </row>
    <row r="230" spans="1:22" s="1129" customFormat="1" x14ac:dyDescent="0.25">
      <c r="A230" s="1123">
        <v>4081800500</v>
      </c>
      <c r="B230" s="1125">
        <v>2</v>
      </c>
      <c r="C230" s="1125">
        <v>4</v>
      </c>
      <c r="D230" s="1127" t="s">
        <v>2211</v>
      </c>
      <c r="E230" s="1126" t="s">
        <v>2253</v>
      </c>
      <c r="F230" s="1125">
        <v>287</v>
      </c>
      <c r="G230" s="1126" t="s">
        <v>753</v>
      </c>
      <c r="H230" s="1125">
        <v>1</v>
      </c>
      <c r="I230" s="1175" t="s">
        <v>1272</v>
      </c>
      <c r="J230" s="1126">
        <v>1</v>
      </c>
      <c r="K230" s="1125">
        <v>24</v>
      </c>
      <c r="L230" s="1125">
        <v>1</v>
      </c>
      <c r="M230" s="1125">
        <v>1</v>
      </c>
      <c r="N230" s="1126" t="s">
        <v>1259</v>
      </c>
      <c r="O230" s="1125">
        <v>13</v>
      </c>
      <c r="P230" s="1164">
        <v>74208</v>
      </c>
      <c r="Q230" s="1164">
        <v>98206</v>
      </c>
      <c r="R230" s="1164">
        <v>172414</v>
      </c>
      <c r="S230" s="1164">
        <v>172414</v>
      </c>
      <c r="T230" s="1164">
        <v>172414</v>
      </c>
      <c r="U230" s="1164">
        <v>172414</v>
      </c>
      <c r="V230" s="1164">
        <v>172414</v>
      </c>
    </row>
    <row r="231" spans="1:22" s="1129" customFormat="1" x14ac:dyDescent="0.25">
      <c r="A231" s="1123">
        <v>4081800500</v>
      </c>
      <c r="B231" s="1125">
        <v>2</v>
      </c>
      <c r="C231" s="1125">
        <v>4</v>
      </c>
      <c r="D231" s="1127" t="s">
        <v>2211</v>
      </c>
      <c r="E231" s="1126" t="s">
        <v>2253</v>
      </c>
      <c r="F231" s="1125">
        <v>287</v>
      </c>
      <c r="G231" s="1126" t="s">
        <v>753</v>
      </c>
      <c r="H231" s="1125">
        <v>1</v>
      </c>
      <c r="I231" s="1175" t="s">
        <v>1273</v>
      </c>
      <c r="J231" s="1126">
        <v>1</v>
      </c>
      <c r="K231" s="1125">
        <v>24</v>
      </c>
      <c r="L231" s="1125">
        <v>1</v>
      </c>
      <c r="M231" s="1125">
        <v>1</v>
      </c>
      <c r="N231" s="1126" t="s">
        <v>1259</v>
      </c>
      <c r="O231" s="1125">
        <v>13</v>
      </c>
      <c r="P231" s="1164">
        <v>185493.12</v>
      </c>
      <c r="Q231" s="1164">
        <v>160027.24</v>
      </c>
      <c r="R231" s="1164">
        <v>345520.36</v>
      </c>
      <c r="S231" s="1164">
        <v>345520.36</v>
      </c>
      <c r="T231" s="1164">
        <v>345520.36</v>
      </c>
      <c r="U231" s="1164">
        <v>345520.36</v>
      </c>
      <c r="V231" s="1164">
        <v>235849.03</v>
      </c>
    </row>
    <row r="232" spans="1:22" s="1129" customFormat="1" x14ac:dyDescent="0.25">
      <c r="A232" s="1123">
        <v>4081800500</v>
      </c>
      <c r="B232" s="1125">
        <v>2</v>
      </c>
      <c r="C232" s="1125">
        <v>4</v>
      </c>
      <c r="D232" s="1127" t="s">
        <v>2211</v>
      </c>
      <c r="E232" s="1126" t="s">
        <v>2253</v>
      </c>
      <c r="F232" s="1125">
        <v>287</v>
      </c>
      <c r="G232" s="1126" t="s">
        <v>753</v>
      </c>
      <c r="H232" s="1125">
        <v>1</v>
      </c>
      <c r="I232" s="1175" t="s">
        <v>1274</v>
      </c>
      <c r="J232" s="1126">
        <v>1</v>
      </c>
      <c r="K232" s="1125">
        <v>24</v>
      </c>
      <c r="L232" s="1125">
        <v>1</v>
      </c>
      <c r="M232" s="1125">
        <v>1</v>
      </c>
      <c r="N232" s="1126" t="s">
        <v>1259</v>
      </c>
      <c r="O232" s="1125">
        <v>13</v>
      </c>
      <c r="P232" s="1164">
        <v>10911.84</v>
      </c>
      <c r="Q232" s="1164">
        <v>2961.58</v>
      </c>
      <c r="R232" s="1164">
        <v>13873.42</v>
      </c>
      <c r="S232" s="1164">
        <v>13873.42</v>
      </c>
      <c r="T232" s="1164">
        <v>13873.42</v>
      </c>
      <c r="U232" s="1164">
        <v>13873.42</v>
      </c>
      <c r="V232" s="1164">
        <v>13873.42</v>
      </c>
    </row>
    <row r="233" spans="1:22" s="1129" customFormat="1" x14ac:dyDescent="0.25">
      <c r="A233" s="1123">
        <v>4081800500</v>
      </c>
      <c r="B233" s="1125">
        <v>2</v>
      </c>
      <c r="C233" s="1125">
        <v>4</v>
      </c>
      <c r="D233" s="1127" t="s">
        <v>2211</v>
      </c>
      <c r="E233" s="1126" t="s">
        <v>2253</v>
      </c>
      <c r="F233" s="1125">
        <v>287</v>
      </c>
      <c r="G233" s="1126" t="s">
        <v>753</v>
      </c>
      <c r="H233" s="1125">
        <v>1</v>
      </c>
      <c r="I233" s="1175" t="s">
        <v>1275</v>
      </c>
      <c r="J233" s="1126">
        <v>1</v>
      </c>
      <c r="K233" s="1125">
        <v>24</v>
      </c>
      <c r="L233" s="1125">
        <v>1</v>
      </c>
      <c r="M233" s="1125">
        <v>1</v>
      </c>
      <c r="N233" s="1126" t="s">
        <v>1259</v>
      </c>
      <c r="O233" s="1125">
        <v>13</v>
      </c>
      <c r="P233" s="1164">
        <v>87290.880000000005</v>
      </c>
      <c r="Q233" s="1164">
        <v>23696.93</v>
      </c>
      <c r="R233" s="1164">
        <v>110987.81</v>
      </c>
      <c r="S233" s="1164">
        <v>110987.81</v>
      </c>
      <c r="T233" s="1164">
        <v>110987.81</v>
      </c>
      <c r="U233" s="1164">
        <v>110987.81</v>
      </c>
      <c r="V233" s="1164">
        <v>110987.81</v>
      </c>
    </row>
    <row r="234" spans="1:22" s="1129" customFormat="1" x14ac:dyDescent="0.25">
      <c r="A234" s="1123">
        <v>4081800500</v>
      </c>
      <c r="B234" s="1125">
        <v>2</v>
      </c>
      <c r="C234" s="1125">
        <v>4</v>
      </c>
      <c r="D234" s="1127" t="s">
        <v>2211</v>
      </c>
      <c r="E234" s="1126" t="s">
        <v>2253</v>
      </c>
      <c r="F234" s="1125">
        <v>287</v>
      </c>
      <c r="G234" s="1126" t="s">
        <v>753</v>
      </c>
      <c r="H234" s="1125">
        <v>1</v>
      </c>
      <c r="I234" s="1175" t="s">
        <v>1276</v>
      </c>
      <c r="J234" s="1126">
        <v>1</v>
      </c>
      <c r="K234" s="1125">
        <v>24</v>
      </c>
      <c r="L234" s="1125">
        <v>1</v>
      </c>
      <c r="M234" s="1125">
        <v>1</v>
      </c>
      <c r="N234" s="1126" t="s">
        <v>1259</v>
      </c>
      <c r="O234" s="1125">
        <v>13</v>
      </c>
      <c r="P234" s="1164">
        <v>370986.96</v>
      </c>
      <c r="Q234" s="1164">
        <v>100711.34</v>
      </c>
      <c r="R234" s="1164">
        <v>471698.3</v>
      </c>
      <c r="S234" s="1164">
        <v>471698.3</v>
      </c>
      <c r="T234" s="1164">
        <v>471698.3</v>
      </c>
      <c r="U234" s="1164">
        <v>471698.3</v>
      </c>
      <c r="V234" s="1164">
        <v>471698.3</v>
      </c>
    </row>
    <row r="235" spans="1:22" s="1129" customFormat="1" x14ac:dyDescent="0.25">
      <c r="A235" s="1123">
        <v>4081800500</v>
      </c>
      <c r="B235" s="1125">
        <v>2</v>
      </c>
      <c r="C235" s="1125">
        <v>4</v>
      </c>
      <c r="D235" s="1127" t="s">
        <v>2211</v>
      </c>
      <c r="E235" s="1126" t="s">
        <v>2253</v>
      </c>
      <c r="F235" s="1125">
        <v>287</v>
      </c>
      <c r="G235" s="1126" t="s">
        <v>753</v>
      </c>
      <c r="H235" s="1125">
        <v>1</v>
      </c>
      <c r="I235" s="1175" t="s">
        <v>1277</v>
      </c>
      <c r="J235" s="1126">
        <v>1</v>
      </c>
      <c r="K235" s="1125">
        <v>24</v>
      </c>
      <c r="L235" s="1125">
        <v>1</v>
      </c>
      <c r="M235" s="1125">
        <v>1</v>
      </c>
      <c r="N235" s="1126" t="s">
        <v>1259</v>
      </c>
      <c r="O235" s="1125">
        <v>13</v>
      </c>
      <c r="P235" s="1164">
        <v>2640</v>
      </c>
      <c r="Q235" s="1164">
        <v>209</v>
      </c>
      <c r="R235" s="1164">
        <v>2849</v>
      </c>
      <c r="S235" s="1164">
        <v>2849</v>
      </c>
      <c r="T235" s="1164">
        <v>2849</v>
      </c>
      <c r="U235" s="1164">
        <v>2849</v>
      </c>
      <c r="V235" s="1164">
        <v>2849</v>
      </c>
    </row>
    <row r="236" spans="1:22" s="1129" customFormat="1" x14ac:dyDescent="0.25">
      <c r="A236" s="1123">
        <v>4081800500</v>
      </c>
      <c r="B236" s="1125">
        <v>2</v>
      </c>
      <c r="C236" s="1125">
        <v>4</v>
      </c>
      <c r="D236" s="1127" t="s">
        <v>2211</v>
      </c>
      <c r="E236" s="1126" t="s">
        <v>2253</v>
      </c>
      <c r="F236" s="1125">
        <v>287</v>
      </c>
      <c r="G236" s="1126" t="s">
        <v>753</v>
      </c>
      <c r="H236" s="1125">
        <v>1</v>
      </c>
      <c r="I236" s="1175" t="s">
        <v>2229</v>
      </c>
      <c r="J236" s="1126">
        <v>1</v>
      </c>
      <c r="K236" s="1125">
        <v>24</v>
      </c>
      <c r="L236" s="1125">
        <v>1</v>
      </c>
      <c r="M236" s="1125">
        <v>1</v>
      </c>
      <c r="N236" s="1126" t="s">
        <v>1259</v>
      </c>
      <c r="O236" s="1125">
        <v>13</v>
      </c>
      <c r="P236" s="1164">
        <v>60000</v>
      </c>
      <c r="Q236" s="1164">
        <v>-60000</v>
      </c>
      <c r="R236" s="1164">
        <v>0</v>
      </c>
      <c r="S236" s="1164">
        <v>0</v>
      </c>
      <c r="T236" s="1164">
        <v>0</v>
      </c>
      <c r="U236" s="1164">
        <v>0</v>
      </c>
      <c r="V236" s="1164">
        <v>0</v>
      </c>
    </row>
    <row r="237" spans="1:22" s="1129" customFormat="1" x14ac:dyDescent="0.25">
      <c r="A237" s="1123">
        <v>4081800500</v>
      </c>
      <c r="B237" s="1125">
        <v>2</v>
      </c>
      <c r="C237" s="1125">
        <v>4</v>
      </c>
      <c r="D237" s="1127" t="s">
        <v>2211</v>
      </c>
      <c r="E237" s="1126" t="s">
        <v>2253</v>
      </c>
      <c r="F237" s="1125">
        <v>287</v>
      </c>
      <c r="G237" s="1126" t="s">
        <v>753</v>
      </c>
      <c r="H237" s="1125">
        <v>1</v>
      </c>
      <c r="I237" s="1175" t="s">
        <v>1278</v>
      </c>
      <c r="J237" s="1126">
        <v>1</v>
      </c>
      <c r="K237" s="1125">
        <v>24</v>
      </c>
      <c r="L237" s="1125">
        <v>1</v>
      </c>
      <c r="M237" s="1125">
        <v>1</v>
      </c>
      <c r="N237" s="1126" t="s">
        <v>1259</v>
      </c>
      <c r="O237" s="1125">
        <v>13</v>
      </c>
      <c r="P237" s="1164">
        <v>516</v>
      </c>
      <c r="Q237" s="1164">
        <v>118.25</v>
      </c>
      <c r="R237" s="1164">
        <v>634.25</v>
      </c>
      <c r="S237" s="1164">
        <v>634.25</v>
      </c>
      <c r="T237" s="1164">
        <v>634.25</v>
      </c>
      <c r="U237" s="1164">
        <v>634.25</v>
      </c>
      <c r="V237" s="1164">
        <v>634.25</v>
      </c>
    </row>
    <row r="238" spans="1:22" s="1129" customFormat="1" x14ac:dyDescent="0.25">
      <c r="A238" s="1123">
        <v>4081800500</v>
      </c>
      <c r="B238" s="1125">
        <v>2</v>
      </c>
      <c r="C238" s="1125">
        <v>4</v>
      </c>
      <c r="D238" s="1127" t="s">
        <v>2211</v>
      </c>
      <c r="E238" s="1126" t="s">
        <v>2253</v>
      </c>
      <c r="F238" s="1125">
        <v>287</v>
      </c>
      <c r="G238" s="1126" t="s">
        <v>753</v>
      </c>
      <c r="H238" s="1125">
        <v>1</v>
      </c>
      <c r="I238" s="1175" t="s">
        <v>1279</v>
      </c>
      <c r="J238" s="1126">
        <v>1</v>
      </c>
      <c r="K238" s="1125">
        <v>24</v>
      </c>
      <c r="L238" s="1125">
        <v>1</v>
      </c>
      <c r="M238" s="1125">
        <v>1</v>
      </c>
      <c r="N238" s="1126" t="s">
        <v>1259</v>
      </c>
      <c r="O238" s="1125">
        <v>13</v>
      </c>
      <c r="P238" s="1164">
        <v>1871.52</v>
      </c>
      <c r="Q238" s="1164">
        <v>975.69</v>
      </c>
      <c r="R238" s="1164">
        <v>2847.21</v>
      </c>
      <c r="S238" s="1164">
        <v>2847.21</v>
      </c>
      <c r="T238" s="1164">
        <v>2847.21</v>
      </c>
      <c r="U238" s="1164">
        <v>2847.21</v>
      </c>
      <c r="V238" s="1164">
        <v>2847.21</v>
      </c>
    </row>
    <row r="239" spans="1:22" s="1129" customFormat="1" x14ac:dyDescent="0.25">
      <c r="A239" s="1123">
        <v>4081800500</v>
      </c>
      <c r="B239" s="1125">
        <v>2</v>
      </c>
      <c r="C239" s="1125">
        <v>4</v>
      </c>
      <c r="D239" s="1127" t="s">
        <v>2211</v>
      </c>
      <c r="E239" s="1126" t="s">
        <v>2253</v>
      </c>
      <c r="F239" s="1125">
        <v>287</v>
      </c>
      <c r="G239" s="1126" t="s">
        <v>753</v>
      </c>
      <c r="H239" s="1125">
        <v>1</v>
      </c>
      <c r="I239" s="1175" t="s">
        <v>1280</v>
      </c>
      <c r="J239" s="1126">
        <v>1</v>
      </c>
      <c r="K239" s="1125">
        <v>24</v>
      </c>
      <c r="L239" s="1125">
        <v>1</v>
      </c>
      <c r="M239" s="1125">
        <v>1</v>
      </c>
      <c r="N239" s="1126" t="s">
        <v>1259</v>
      </c>
      <c r="O239" s="1125">
        <v>13</v>
      </c>
      <c r="P239" s="1164">
        <v>7838.19</v>
      </c>
      <c r="Q239" s="1164">
        <v>46277.51</v>
      </c>
      <c r="R239" s="1164">
        <v>54115.7</v>
      </c>
      <c r="S239" s="1164">
        <v>54115.7</v>
      </c>
      <c r="T239" s="1164">
        <v>54115.7</v>
      </c>
      <c r="U239" s="1164">
        <v>54115.7</v>
      </c>
      <c r="V239" s="1164">
        <v>5151.38</v>
      </c>
    </row>
    <row r="240" spans="1:22" s="1129" customFormat="1" x14ac:dyDescent="0.25">
      <c r="A240" s="1123">
        <v>4081800500</v>
      </c>
      <c r="B240" s="1125">
        <v>2</v>
      </c>
      <c r="C240" s="1125">
        <v>4</v>
      </c>
      <c r="D240" s="1127" t="s">
        <v>2211</v>
      </c>
      <c r="E240" s="1126" t="s">
        <v>2253</v>
      </c>
      <c r="F240" s="1125">
        <v>287</v>
      </c>
      <c r="G240" s="1126" t="s">
        <v>753</v>
      </c>
      <c r="H240" s="1125">
        <v>1</v>
      </c>
      <c r="I240" s="1175" t="s">
        <v>2193</v>
      </c>
      <c r="J240" s="1126">
        <v>1</v>
      </c>
      <c r="K240" s="1125">
        <v>24</v>
      </c>
      <c r="L240" s="1125">
        <v>1</v>
      </c>
      <c r="M240" s="1125">
        <v>1</v>
      </c>
      <c r="N240" s="1126" t="s">
        <v>1259</v>
      </c>
      <c r="O240" s="1125">
        <v>13</v>
      </c>
      <c r="P240" s="1164">
        <v>10396.98</v>
      </c>
      <c r="Q240" s="1164">
        <v>-5811.34</v>
      </c>
      <c r="R240" s="1164">
        <v>4585.6400000000003</v>
      </c>
      <c r="S240" s="1164">
        <v>4585.6400000000003</v>
      </c>
      <c r="T240" s="1164">
        <v>4585.6400000000003</v>
      </c>
      <c r="U240" s="1164">
        <v>4585.6400000000003</v>
      </c>
      <c r="V240" s="1164">
        <v>4585.6400000000003</v>
      </c>
    </row>
    <row r="241" spans="1:22" s="1129" customFormat="1" x14ac:dyDescent="0.25">
      <c r="A241" s="1123">
        <v>4081800500</v>
      </c>
      <c r="B241" s="1125">
        <v>2</v>
      </c>
      <c r="C241" s="1125">
        <v>4</v>
      </c>
      <c r="D241" s="1127" t="s">
        <v>2211</v>
      </c>
      <c r="E241" s="1126" t="s">
        <v>2253</v>
      </c>
      <c r="F241" s="1125">
        <v>287</v>
      </c>
      <c r="G241" s="1126" t="s">
        <v>753</v>
      </c>
      <c r="H241" s="1125">
        <v>1</v>
      </c>
      <c r="I241" s="1175" t="s">
        <v>1358</v>
      </c>
      <c r="J241" s="1126">
        <v>1</v>
      </c>
      <c r="K241" s="1125">
        <v>24</v>
      </c>
      <c r="L241" s="1125">
        <v>1</v>
      </c>
      <c r="M241" s="1125">
        <v>1</v>
      </c>
      <c r="N241" s="1126" t="s">
        <v>1259</v>
      </c>
      <c r="O241" s="1125">
        <v>13</v>
      </c>
      <c r="P241" s="1164">
        <v>31440</v>
      </c>
      <c r="Q241" s="1164">
        <v>7205</v>
      </c>
      <c r="R241" s="1164">
        <v>38645</v>
      </c>
      <c r="S241" s="1164">
        <v>38645</v>
      </c>
      <c r="T241" s="1164">
        <v>38645</v>
      </c>
      <c r="U241" s="1164">
        <v>38645</v>
      </c>
      <c r="V241" s="1164">
        <v>38645</v>
      </c>
    </row>
    <row r="242" spans="1:22" s="1129" customFormat="1" x14ac:dyDescent="0.25">
      <c r="A242" s="1123">
        <v>4081800500</v>
      </c>
      <c r="B242" s="1125">
        <v>2</v>
      </c>
      <c r="C242" s="1125">
        <v>4</v>
      </c>
      <c r="D242" s="1127" t="s">
        <v>2211</v>
      </c>
      <c r="E242" s="1126" t="s">
        <v>2253</v>
      </c>
      <c r="F242" s="1125">
        <v>287</v>
      </c>
      <c r="G242" s="1126" t="s">
        <v>753</v>
      </c>
      <c r="H242" s="1125">
        <v>1</v>
      </c>
      <c r="I242" s="1175" t="s">
        <v>1381</v>
      </c>
      <c r="J242" s="1126">
        <v>1</v>
      </c>
      <c r="K242" s="1125">
        <v>24</v>
      </c>
      <c r="L242" s="1125">
        <v>1</v>
      </c>
      <c r="M242" s="1125">
        <v>1</v>
      </c>
      <c r="N242" s="1126" t="s">
        <v>1259</v>
      </c>
      <c r="O242" s="1125">
        <v>13</v>
      </c>
      <c r="P242" s="1164">
        <v>2900</v>
      </c>
      <c r="Q242" s="1164">
        <v>100</v>
      </c>
      <c r="R242" s="1164">
        <v>3000</v>
      </c>
      <c r="S242" s="1164">
        <v>3000</v>
      </c>
      <c r="T242" s="1164">
        <v>3000</v>
      </c>
      <c r="U242" s="1164">
        <v>3000</v>
      </c>
      <c r="V242" s="1164">
        <v>3000</v>
      </c>
    </row>
    <row r="243" spans="1:22" s="1129" customFormat="1" x14ac:dyDescent="0.25">
      <c r="A243" s="1123">
        <v>4081800500</v>
      </c>
      <c r="B243" s="1125">
        <v>2</v>
      </c>
      <c r="C243" s="1125">
        <v>4</v>
      </c>
      <c r="D243" s="1127" t="s">
        <v>2211</v>
      </c>
      <c r="E243" s="1126" t="s">
        <v>2253</v>
      </c>
      <c r="F243" s="1125">
        <v>287</v>
      </c>
      <c r="G243" s="1126" t="s">
        <v>753</v>
      </c>
      <c r="H243" s="1125">
        <v>1</v>
      </c>
      <c r="I243" s="1175" t="s">
        <v>1359</v>
      </c>
      <c r="J243" s="1126">
        <v>1</v>
      </c>
      <c r="K243" s="1125">
        <v>24</v>
      </c>
      <c r="L243" s="1125">
        <v>1</v>
      </c>
      <c r="M243" s="1125">
        <v>1</v>
      </c>
      <c r="N243" s="1126" t="s">
        <v>1259</v>
      </c>
      <c r="O243" s="1125">
        <v>13</v>
      </c>
      <c r="P243" s="1164">
        <v>18384</v>
      </c>
      <c r="Q243" s="1164">
        <v>5437</v>
      </c>
      <c r="R243" s="1164">
        <v>23821</v>
      </c>
      <c r="S243" s="1164">
        <v>23821</v>
      </c>
      <c r="T243" s="1164">
        <v>23821</v>
      </c>
      <c r="U243" s="1164">
        <v>23821</v>
      </c>
      <c r="V243" s="1164">
        <v>23821</v>
      </c>
    </row>
    <row r="244" spans="1:22" s="1129" customFormat="1" x14ac:dyDescent="0.25">
      <c r="A244" s="1123">
        <v>4081800500</v>
      </c>
      <c r="B244" s="1125">
        <v>2</v>
      </c>
      <c r="C244" s="1125">
        <v>4</v>
      </c>
      <c r="D244" s="1127" t="s">
        <v>2211</v>
      </c>
      <c r="E244" s="1126" t="s">
        <v>2253</v>
      </c>
      <c r="F244" s="1125">
        <v>287</v>
      </c>
      <c r="G244" s="1126" t="s">
        <v>753</v>
      </c>
      <c r="H244" s="1125">
        <v>1</v>
      </c>
      <c r="I244" s="1175" t="s">
        <v>1360</v>
      </c>
      <c r="J244" s="1126">
        <v>1</v>
      </c>
      <c r="K244" s="1125">
        <v>24</v>
      </c>
      <c r="L244" s="1125">
        <v>1</v>
      </c>
      <c r="M244" s="1125">
        <v>1</v>
      </c>
      <c r="N244" s="1126" t="s">
        <v>1259</v>
      </c>
      <c r="O244" s="1125">
        <v>13</v>
      </c>
      <c r="P244" s="1164">
        <v>20232</v>
      </c>
      <c r="Q244" s="1164">
        <v>5968.5</v>
      </c>
      <c r="R244" s="1164">
        <v>26200.5</v>
      </c>
      <c r="S244" s="1164">
        <v>26200.5</v>
      </c>
      <c r="T244" s="1164">
        <v>26200.5</v>
      </c>
      <c r="U244" s="1164">
        <v>26200.5</v>
      </c>
      <c r="V244" s="1164">
        <v>26200.5</v>
      </c>
    </row>
    <row r="245" spans="1:22" s="1129" customFormat="1" x14ac:dyDescent="0.25">
      <c r="A245" s="1123">
        <v>4081800500</v>
      </c>
      <c r="B245" s="1125">
        <v>2</v>
      </c>
      <c r="C245" s="1125">
        <v>4</v>
      </c>
      <c r="D245" s="1127" t="s">
        <v>2211</v>
      </c>
      <c r="E245" s="1126" t="s">
        <v>2253</v>
      </c>
      <c r="F245" s="1125">
        <v>287</v>
      </c>
      <c r="G245" s="1126" t="s">
        <v>753</v>
      </c>
      <c r="H245" s="1125">
        <v>1</v>
      </c>
      <c r="I245" s="1175" t="s">
        <v>2194</v>
      </c>
      <c r="J245" s="1126">
        <v>1</v>
      </c>
      <c r="K245" s="1125">
        <v>24</v>
      </c>
      <c r="L245" s="1125">
        <v>1</v>
      </c>
      <c r="M245" s="1125">
        <v>1</v>
      </c>
      <c r="N245" s="1126" t="s">
        <v>1259</v>
      </c>
      <c r="O245" s="1125">
        <v>13</v>
      </c>
      <c r="P245" s="1164">
        <v>2560</v>
      </c>
      <c r="Q245" s="1164">
        <v>-2560</v>
      </c>
      <c r="R245" s="1164">
        <v>0</v>
      </c>
      <c r="S245" s="1164">
        <v>0</v>
      </c>
      <c r="T245" s="1164">
        <v>0</v>
      </c>
      <c r="U245" s="1164">
        <v>0</v>
      </c>
      <c r="V245" s="1164">
        <v>0</v>
      </c>
    </row>
    <row r="246" spans="1:22" s="1129" customFormat="1" x14ac:dyDescent="0.25">
      <c r="A246" s="1123">
        <v>4081800500</v>
      </c>
      <c r="B246" s="1125">
        <v>2</v>
      </c>
      <c r="C246" s="1125">
        <v>4</v>
      </c>
      <c r="D246" s="1127" t="s">
        <v>2211</v>
      </c>
      <c r="E246" s="1126" t="s">
        <v>2253</v>
      </c>
      <c r="F246" s="1125">
        <v>287</v>
      </c>
      <c r="G246" s="1126" t="s">
        <v>753</v>
      </c>
      <c r="H246" s="1125">
        <v>1</v>
      </c>
      <c r="I246" s="1175" t="s">
        <v>2121</v>
      </c>
      <c r="J246" s="1126">
        <v>1</v>
      </c>
      <c r="K246" s="1125">
        <v>24</v>
      </c>
      <c r="L246" s="1125">
        <v>1</v>
      </c>
      <c r="M246" s="1125">
        <v>1</v>
      </c>
      <c r="N246" s="1126" t="s">
        <v>1259</v>
      </c>
      <c r="O246" s="1125">
        <v>13</v>
      </c>
      <c r="P246" s="1164">
        <v>1460</v>
      </c>
      <c r="Q246" s="1164">
        <v>1540</v>
      </c>
      <c r="R246" s="1164">
        <v>3000</v>
      </c>
      <c r="S246" s="1164">
        <v>3000</v>
      </c>
      <c r="T246" s="1164">
        <v>3000</v>
      </c>
      <c r="U246" s="1164">
        <v>3000</v>
      </c>
      <c r="V246" s="1164">
        <v>3000</v>
      </c>
    </row>
    <row r="247" spans="1:22" s="1129" customFormat="1" x14ac:dyDescent="0.25">
      <c r="A247" s="1123">
        <v>4081800500</v>
      </c>
      <c r="B247" s="1125">
        <v>2</v>
      </c>
      <c r="C247" s="1125">
        <v>4</v>
      </c>
      <c r="D247" s="1127" t="s">
        <v>2211</v>
      </c>
      <c r="E247" s="1126" t="s">
        <v>2253</v>
      </c>
      <c r="F247" s="1125">
        <v>287</v>
      </c>
      <c r="G247" s="1126" t="s">
        <v>753</v>
      </c>
      <c r="H247" s="1125">
        <v>1</v>
      </c>
      <c r="I247" s="1175" t="s">
        <v>1362</v>
      </c>
      <c r="J247" s="1126">
        <v>1</v>
      </c>
      <c r="K247" s="1125">
        <v>24</v>
      </c>
      <c r="L247" s="1125">
        <v>1</v>
      </c>
      <c r="M247" s="1125">
        <v>1</v>
      </c>
      <c r="N247" s="1126" t="s">
        <v>1259</v>
      </c>
      <c r="O247" s="1125">
        <v>13</v>
      </c>
      <c r="P247" s="1164">
        <v>2000</v>
      </c>
      <c r="Q247" s="1164">
        <v>1000</v>
      </c>
      <c r="R247" s="1164">
        <v>3000</v>
      </c>
      <c r="S247" s="1164">
        <v>3000</v>
      </c>
      <c r="T247" s="1164">
        <v>3000</v>
      </c>
      <c r="U247" s="1164">
        <v>3000</v>
      </c>
      <c r="V247" s="1164">
        <v>3000</v>
      </c>
    </row>
    <row r="248" spans="1:22" s="1129" customFormat="1" x14ac:dyDescent="0.25">
      <c r="A248" s="1123">
        <v>4081800500</v>
      </c>
      <c r="B248" s="1125">
        <v>2</v>
      </c>
      <c r="C248" s="1125">
        <v>4</v>
      </c>
      <c r="D248" s="1127" t="s">
        <v>2211</v>
      </c>
      <c r="E248" s="1126" t="s">
        <v>2253</v>
      </c>
      <c r="F248" s="1125">
        <v>287</v>
      </c>
      <c r="G248" s="1126" t="s">
        <v>753</v>
      </c>
      <c r="H248" s="1125">
        <v>1</v>
      </c>
      <c r="I248" s="1175" t="s">
        <v>1363</v>
      </c>
      <c r="J248" s="1126">
        <v>1</v>
      </c>
      <c r="K248" s="1125">
        <v>24</v>
      </c>
      <c r="L248" s="1125">
        <v>1</v>
      </c>
      <c r="M248" s="1125">
        <v>1</v>
      </c>
      <c r="N248" s="1126" t="s">
        <v>1259</v>
      </c>
      <c r="O248" s="1125">
        <v>13</v>
      </c>
      <c r="P248" s="1164">
        <v>11448</v>
      </c>
      <c r="Q248" s="1164">
        <v>3991.5</v>
      </c>
      <c r="R248" s="1164">
        <v>15439.5</v>
      </c>
      <c r="S248" s="1164">
        <v>15439.5</v>
      </c>
      <c r="T248" s="1164">
        <v>15439.5</v>
      </c>
      <c r="U248" s="1164">
        <v>15439.5</v>
      </c>
      <c r="V248" s="1164">
        <v>15439.5</v>
      </c>
    </row>
    <row r="249" spans="1:22" s="1129" customFormat="1" x14ac:dyDescent="0.25">
      <c r="A249" s="1123">
        <v>4081800500</v>
      </c>
      <c r="B249" s="1125">
        <v>2</v>
      </c>
      <c r="C249" s="1125">
        <v>4</v>
      </c>
      <c r="D249" s="1127" t="s">
        <v>2211</v>
      </c>
      <c r="E249" s="1126" t="s">
        <v>2253</v>
      </c>
      <c r="F249" s="1125">
        <v>287</v>
      </c>
      <c r="G249" s="1126" t="s">
        <v>753</v>
      </c>
      <c r="H249" s="1125">
        <v>1</v>
      </c>
      <c r="I249" s="1175" t="s">
        <v>2195</v>
      </c>
      <c r="J249" s="1126">
        <v>1</v>
      </c>
      <c r="K249" s="1125">
        <v>24</v>
      </c>
      <c r="L249" s="1125">
        <v>1</v>
      </c>
      <c r="M249" s="1125">
        <v>1</v>
      </c>
      <c r="N249" s="1126" t="s">
        <v>1259</v>
      </c>
      <c r="O249" s="1125">
        <v>13</v>
      </c>
      <c r="P249" s="1164">
        <v>4000</v>
      </c>
      <c r="Q249" s="1164">
        <v>-400</v>
      </c>
      <c r="R249" s="1164">
        <v>3600</v>
      </c>
      <c r="S249" s="1164">
        <v>3600</v>
      </c>
      <c r="T249" s="1164">
        <v>3600</v>
      </c>
      <c r="U249" s="1164">
        <v>3600</v>
      </c>
      <c r="V249" s="1164">
        <v>3600</v>
      </c>
    </row>
    <row r="250" spans="1:22" s="1129" customFormat="1" x14ac:dyDescent="0.25">
      <c r="A250" s="1123">
        <v>4081800500</v>
      </c>
      <c r="B250" s="1125">
        <v>2</v>
      </c>
      <c r="C250" s="1125">
        <v>4</v>
      </c>
      <c r="D250" s="1127" t="s">
        <v>2211</v>
      </c>
      <c r="E250" s="1126" t="s">
        <v>2253</v>
      </c>
      <c r="F250" s="1125">
        <v>287</v>
      </c>
      <c r="G250" s="1126" t="s">
        <v>753</v>
      </c>
      <c r="H250" s="1125">
        <v>1</v>
      </c>
      <c r="I250" s="1175" t="s">
        <v>1281</v>
      </c>
      <c r="J250" s="1126">
        <v>1</v>
      </c>
      <c r="K250" s="1125">
        <v>24</v>
      </c>
      <c r="L250" s="1125">
        <v>1</v>
      </c>
      <c r="M250" s="1125">
        <v>1</v>
      </c>
      <c r="N250" s="1126" t="s">
        <v>1259</v>
      </c>
      <c r="O250" s="1125">
        <v>13</v>
      </c>
      <c r="P250" s="1164">
        <v>96794.64</v>
      </c>
      <c r="Q250" s="1164">
        <v>61753.67</v>
      </c>
      <c r="R250" s="1164">
        <v>158548.31</v>
      </c>
      <c r="S250" s="1164">
        <v>158548.31</v>
      </c>
      <c r="T250" s="1164">
        <v>158548.31</v>
      </c>
      <c r="U250" s="1164">
        <v>158548.31</v>
      </c>
      <c r="V250" s="1164">
        <v>158548.31</v>
      </c>
    </row>
    <row r="251" spans="1:22" s="1129" customFormat="1" x14ac:dyDescent="0.25">
      <c r="A251" s="1123">
        <v>4081800500</v>
      </c>
      <c r="B251" s="1125">
        <v>2</v>
      </c>
      <c r="C251" s="1125">
        <v>4</v>
      </c>
      <c r="D251" s="1127" t="s">
        <v>2211</v>
      </c>
      <c r="E251" s="1126" t="s">
        <v>2253</v>
      </c>
      <c r="F251" s="1125">
        <v>287</v>
      </c>
      <c r="G251" s="1126" t="s">
        <v>753</v>
      </c>
      <c r="H251" s="1125">
        <v>1</v>
      </c>
      <c r="I251" s="1175" t="s">
        <v>1282</v>
      </c>
      <c r="J251" s="1126">
        <v>1</v>
      </c>
      <c r="K251" s="1125">
        <v>24</v>
      </c>
      <c r="L251" s="1125">
        <v>1</v>
      </c>
      <c r="M251" s="1125">
        <v>1</v>
      </c>
      <c r="N251" s="1126" t="s">
        <v>1259</v>
      </c>
      <c r="O251" s="1125">
        <v>13</v>
      </c>
      <c r="P251" s="1164">
        <v>177344.95</v>
      </c>
      <c r="Q251" s="1164">
        <v>-177344.95</v>
      </c>
      <c r="R251" s="1164">
        <v>0</v>
      </c>
      <c r="S251" s="1164">
        <v>0</v>
      </c>
      <c r="T251" s="1164">
        <v>0</v>
      </c>
      <c r="U251" s="1164">
        <v>0</v>
      </c>
      <c r="V251" s="1164">
        <v>0</v>
      </c>
    </row>
    <row r="252" spans="1:22" s="1129" customFormat="1" x14ac:dyDescent="0.25">
      <c r="A252" s="1123">
        <v>4081800500</v>
      </c>
      <c r="B252" s="1125">
        <v>2</v>
      </c>
      <c r="C252" s="1125">
        <v>4</v>
      </c>
      <c r="D252" s="1127" t="s">
        <v>2211</v>
      </c>
      <c r="E252" s="1126" t="s">
        <v>2253</v>
      </c>
      <c r="F252" s="1125">
        <v>287</v>
      </c>
      <c r="G252" s="1126" t="s">
        <v>753</v>
      </c>
      <c r="H252" s="1125">
        <v>1</v>
      </c>
      <c r="I252" s="1175" t="s">
        <v>1283</v>
      </c>
      <c r="J252" s="1126">
        <v>1</v>
      </c>
      <c r="K252" s="1125">
        <v>24</v>
      </c>
      <c r="L252" s="1125">
        <v>1</v>
      </c>
      <c r="M252" s="1125">
        <v>1</v>
      </c>
      <c r="N252" s="1126" t="s">
        <v>1259</v>
      </c>
      <c r="O252" s="1125">
        <v>13</v>
      </c>
      <c r="P252" s="1164">
        <v>186000</v>
      </c>
      <c r="Q252" s="1164">
        <v>58000</v>
      </c>
      <c r="R252" s="1164">
        <v>244000</v>
      </c>
      <c r="S252" s="1164">
        <v>244000</v>
      </c>
      <c r="T252" s="1164">
        <v>244000</v>
      </c>
      <c r="U252" s="1164">
        <v>244000</v>
      </c>
      <c r="V252" s="1164">
        <v>244000</v>
      </c>
    </row>
    <row r="253" spans="1:22" s="1129" customFormat="1" x14ac:dyDescent="0.25">
      <c r="A253" s="1123">
        <v>4081800500</v>
      </c>
      <c r="B253" s="1125">
        <v>2</v>
      </c>
      <c r="C253" s="1125">
        <v>4</v>
      </c>
      <c r="D253" s="1127" t="s">
        <v>2211</v>
      </c>
      <c r="E253" s="1126" t="s">
        <v>2253</v>
      </c>
      <c r="F253" s="1125">
        <v>287</v>
      </c>
      <c r="G253" s="1126" t="s">
        <v>753</v>
      </c>
      <c r="H253" s="1125">
        <v>1</v>
      </c>
      <c r="I253" s="1175" t="s">
        <v>1382</v>
      </c>
      <c r="J253" s="1126">
        <v>1</v>
      </c>
      <c r="K253" s="1125">
        <v>24</v>
      </c>
      <c r="L253" s="1125">
        <v>1</v>
      </c>
      <c r="M253" s="1125">
        <v>1</v>
      </c>
      <c r="N253" s="1126" t="s">
        <v>1259</v>
      </c>
      <c r="O253" s="1125">
        <v>13</v>
      </c>
      <c r="P253" s="1164">
        <v>7040</v>
      </c>
      <c r="Q253" s="1164">
        <v>880</v>
      </c>
      <c r="R253" s="1164">
        <v>7920</v>
      </c>
      <c r="S253" s="1164">
        <v>7920</v>
      </c>
      <c r="T253" s="1164">
        <v>7920</v>
      </c>
      <c r="U253" s="1164">
        <v>7920</v>
      </c>
      <c r="V253" s="1164">
        <v>7920</v>
      </c>
    </row>
    <row r="254" spans="1:22" s="1129" customFormat="1" x14ac:dyDescent="0.25">
      <c r="A254" s="1123">
        <v>4081800500</v>
      </c>
      <c r="B254" s="1125">
        <v>2</v>
      </c>
      <c r="C254" s="1125">
        <v>4</v>
      </c>
      <c r="D254" s="1127" t="s">
        <v>2211</v>
      </c>
      <c r="E254" s="1126" t="s">
        <v>2253</v>
      </c>
      <c r="F254" s="1125">
        <v>287</v>
      </c>
      <c r="G254" s="1126" t="s">
        <v>753</v>
      </c>
      <c r="H254" s="1125">
        <v>1</v>
      </c>
      <c r="I254" s="1175" t="s">
        <v>1365</v>
      </c>
      <c r="J254" s="1126">
        <v>1</v>
      </c>
      <c r="K254" s="1125">
        <v>24</v>
      </c>
      <c r="L254" s="1125">
        <v>1</v>
      </c>
      <c r="M254" s="1125">
        <v>1</v>
      </c>
      <c r="N254" s="1126" t="s">
        <v>1259</v>
      </c>
      <c r="O254" s="1125">
        <v>13</v>
      </c>
      <c r="P254" s="1164">
        <v>0</v>
      </c>
      <c r="Q254" s="1164">
        <v>23633.82</v>
      </c>
      <c r="R254" s="1164">
        <v>23633.82</v>
      </c>
      <c r="S254" s="1164">
        <v>23633.82</v>
      </c>
      <c r="T254" s="1164">
        <v>23633.82</v>
      </c>
      <c r="U254" s="1164">
        <v>23633.82</v>
      </c>
      <c r="V254" s="1164">
        <v>23633.82</v>
      </c>
    </row>
    <row r="255" spans="1:22" s="1129" customFormat="1" x14ac:dyDescent="0.25">
      <c r="A255" s="1123">
        <v>4081800500</v>
      </c>
      <c r="B255" s="1125">
        <v>2</v>
      </c>
      <c r="C255" s="1125">
        <v>4</v>
      </c>
      <c r="D255" s="1127" t="s">
        <v>2211</v>
      </c>
      <c r="E255" s="1126" t="s">
        <v>2253</v>
      </c>
      <c r="F255" s="1125">
        <v>287</v>
      </c>
      <c r="G255" s="1126" t="s">
        <v>753</v>
      </c>
      <c r="H255" s="1125">
        <v>1</v>
      </c>
      <c r="I255" s="1175" t="s">
        <v>1284</v>
      </c>
      <c r="J255" s="1126">
        <v>1</v>
      </c>
      <c r="K255" s="1125">
        <v>24</v>
      </c>
      <c r="L255" s="1125">
        <v>1</v>
      </c>
      <c r="M255" s="1125">
        <v>1</v>
      </c>
      <c r="N255" s="1126" t="s">
        <v>1259</v>
      </c>
      <c r="O255" s="1125">
        <v>13</v>
      </c>
      <c r="P255" s="1164">
        <v>16000</v>
      </c>
      <c r="Q255" s="1164">
        <v>48134.39</v>
      </c>
      <c r="R255" s="1164">
        <v>64134.39</v>
      </c>
      <c r="S255" s="1164">
        <v>70609.929999999993</v>
      </c>
      <c r="T255" s="1164">
        <v>70609.929999999993</v>
      </c>
      <c r="U255" s="1164">
        <v>70609.929999999993</v>
      </c>
      <c r="V255" s="1164">
        <v>70609.929999999993</v>
      </c>
    </row>
    <row r="256" spans="1:22" s="1129" customFormat="1" x14ac:dyDescent="0.25">
      <c r="A256" s="1123">
        <v>4081800500</v>
      </c>
      <c r="B256" s="1125">
        <v>2</v>
      </c>
      <c r="C256" s="1125">
        <v>4</v>
      </c>
      <c r="D256" s="1127" t="s">
        <v>2211</v>
      </c>
      <c r="E256" s="1126" t="s">
        <v>2253</v>
      </c>
      <c r="F256" s="1125">
        <v>287</v>
      </c>
      <c r="G256" s="1126" t="s">
        <v>753</v>
      </c>
      <c r="H256" s="1125">
        <v>1</v>
      </c>
      <c r="I256" s="1175" t="s">
        <v>1285</v>
      </c>
      <c r="J256" s="1126">
        <v>1</v>
      </c>
      <c r="K256" s="1125">
        <v>24</v>
      </c>
      <c r="L256" s="1125">
        <v>1</v>
      </c>
      <c r="M256" s="1125">
        <v>1</v>
      </c>
      <c r="N256" s="1126" t="s">
        <v>1259</v>
      </c>
      <c r="O256" s="1125">
        <v>13</v>
      </c>
      <c r="P256" s="1164">
        <v>18000</v>
      </c>
      <c r="Q256" s="1164">
        <v>-1258</v>
      </c>
      <c r="R256" s="1164">
        <v>16742</v>
      </c>
      <c r="S256" s="1164">
        <v>16742</v>
      </c>
      <c r="T256" s="1164">
        <v>16742</v>
      </c>
      <c r="U256" s="1164">
        <v>16742</v>
      </c>
      <c r="V256" s="1164">
        <v>16742</v>
      </c>
    </row>
    <row r="257" spans="1:23" s="1129" customFormat="1" x14ac:dyDescent="0.25">
      <c r="A257" s="1123">
        <v>4081800500</v>
      </c>
      <c r="B257" s="1125">
        <v>2</v>
      </c>
      <c r="C257" s="1125">
        <v>4</v>
      </c>
      <c r="D257" s="1127" t="s">
        <v>2211</v>
      </c>
      <c r="E257" s="1126" t="s">
        <v>2253</v>
      </c>
      <c r="F257" s="1125">
        <v>287</v>
      </c>
      <c r="G257" s="1126" t="s">
        <v>753</v>
      </c>
      <c r="H257" s="1125">
        <v>1</v>
      </c>
      <c r="I257" s="1175" t="s">
        <v>1286</v>
      </c>
      <c r="J257" s="1126">
        <v>1</v>
      </c>
      <c r="K257" s="1125">
        <v>24</v>
      </c>
      <c r="L257" s="1125">
        <v>1</v>
      </c>
      <c r="M257" s="1125">
        <v>1</v>
      </c>
      <c r="N257" s="1126" t="s">
        <v>1259</v>
      </c>
      <c r="O257" s="1125">
        <v>13</v>
      </c>
      <c r="P257" s="1164">
        <v>3000</v>
      </c>
      <c r="Q257" s="1164">
        <v>32286.7</v>
      </c>
      <c r="R257" s="1164">
        <v>35286.699999999997</v>
      </c>
      <c r="S257" s="1164">
        <v>36036.699999999997</v>
      </c>
      <c r="T257" s="1164">
        <v>36036.699999999997</v>
      </c>
      <c r="U257" s="1164">
        <v>36036.699999999997</v>
      </c>
      <c r="V257" s="1164">
        <v>36036.699999999997</v>
      </c>
    </row>
    <row r="258" spans="1:23" s="1129" customFormat="1" x14ac:dyDescent="0.25">
      <c r="A258" s="1123">
        <v>4081800500</v>
      </c>
      <c r="B258" s="1125">
        <v>2</v>
      </c>
      <c r="C258" s="1125">
        <v>4</v>
      </c>
      <c r="D258" s="1127" t="s">
        <v>2211</v>
      </c>
      <c r="E258" s="1126" t="s">
        <v>2253</v>
      </c>
      <c r="F258" s="1125">
        <v>287</v>
      </c>
      <c r="G258" s="1126" t="s">
        <v>753</v>
      </c>
      <c r="H258" s="1125">
        <v>1</v>
      </c>
      <c r="I258" s="1175" t="s">
        <v>1287</v>
      </c>
      <c r="J258" s="1126">
        <v>1</v>
      </c>
      <c r="K258" s="1125">
        <v>24</v>
      </c>
      <c r="L258" s="1125">
        <v>1</v>
      </c>
      <c r="M258" s="1125">
        <v>1</v>
      </c>
      <c r="N258" s="1126" t="s">
        <v>1259</v>
      </c>
      <c r="O258" s="1125">
        <v>13</v>
      </c>
      <c r="P258" s="1164">
        <v>45000</v>
      </c>
      <c r="Q258" s="1164">
        <v>-7164.87</v>
      </c>
      <c r="R258" s="1164">
        <v>37835.129999999997</v>
      </c>
      <c r="S258" s="1164">
        <v>41427.89</v>
      </c>
      <c r="T258" s="1164">
        <v>41427.89</v>
      </c>
      <c r="U258" s="1164">
        <v>41427.89</v>
      </c>
      <c r="V258" s="1164">
        <v>41427.89</v>
      </c>
    </row>
    <row r="259" spans="1:23" s="1129" customFormat="1" x14ac:dyDescent="0.25">
      <c r="A259" s="1123">
        <v>4081800500</v>
      </c>
      <c r="B259" s="1125">
        <v>2</v>
      </c>
      <c r="C259" s="1125">
        <v>4</v>
      </c>
      <c r="D259" s="1127" t="s">
        <v>2211</v>
      </c>
      <c r="E259" s="1126" t="s">
        <v>2253</v>
      </c>
      <c r="F259" s="1125">
        <v>287</v>
      </c>
      <c r="G259" s="1126" t="s">
        <v>753</v>
      </c>
      <c r="H259" s="1125">
        <v>1</v>
      </c>
      <c r="I259" s="1175" t="s">
        <v>1288</v>
      </c>
      <c r="J259" s="1126">
        <v>1</v>
      </c>
      <c r="K259" s="1125">
        <v>24</v>
      </c>
      <c r="L259" s="1125">
        <v>1</v>
      </c>
      <c r="M259" s="1125">
        <v>1</v>
      </c>
      <c r="N259" s="1126" t="s">
        <v>1259</v>
      </c>
      <c r="O259" s="1125">
        <v>13</v>
      </c>
      <c r="P259" s="1164">
        <v>15000</v>
      </c>
      <c r="Q259" s="1164">
        <v>29691.3</v>
      </c>
      <c r="R259" s="1164">
        <v>44691.3</v>
      </c>
      <c r="S259" s="1164">
        <v>57326.05</v>
      </c>
      <c r="T259" s="1164">
        <v>57326.05</v>
      </c>
      <c r="U259" s="1164">
        <v>57326.05</v>
      </c>
      <c r="V259" s="1164">
        <v>57326.05</v>
      </c>
      <c r="W259" s="1164"/>
    </row>
    <row r="260" spans="1:23" s="1129" customFormat="1" x14ac:dyDescent="0.25">
      <c r="A260" s="1123">
        <v>4081800500</v>
      </c>
      <c r="B260" s="1125">
        <v>2</v>
      </c>
      <c r="C260" s="1125">
        <v>4</v>
      </c>
      <c r="D260" s="1127" t="s">
        <v>2211</v>
      </c>
      <c r="E260" s="1126" t="s">
        <v>2253</v>
      </c>
      <c r="F260" s="1125">
        <v>287</v>
      </c>
      <c r="G260" s="1126" t="s">
        <v>753</v>
      </c>
      <c r="H260" s="1125">
        <v>1</v>
      </c>
      <c r="I260" s="1175" t="s">
        <v>1289</v>
      </c>
      <c r="J260" s="1126">
        <v>1</v>
      </c>
      <c r="K260" s="1125">
        <v>24</v>
      </c>
      <c r="L260" s="1125">
        <v>1</v>
      </c>
      <c r="M260" s="1125">
        <v>1</v>
      </c>
      <c r="N260" s="1126" t="s">
        <v>1259</v>
      </c>
      <c r="O260" s="1125">
        <v>13</v>
      </c>
      <c r="P260" s="1164">
        <v>15000</v>
      </c>
      <c r="Q260" s="1164">
        <v>-14384</v>
      </c>
      <c r="R260" s="1164">
        <v>616</v>
      </c>
      <c r="S260" s="1164">
        <v>616</v>
      </c>
      <c r="T260" s="1164">
        <v>616</v>
      </c>
      <c r="U260" s="1164">
        <v>616</v>
      </c>
      <c r="V260" s="1164">
        <v>616</v>
      </c>
      <c r="W260" s="1164"/>
    </row>
    <row r="261" spans="1:23" s="1129" customFormat="1" x14ac:dyDescent="0.25">
      <c r="A261" s="1123">
        <v>4081800500</v>
      </c>
      <c r="B261" s="1125">
        <v>2</v>
      </c>
      <c r="C261" s="1125">
        <v>4</v>
      </c>
      <c r="D261" s="1127" t="s">
        <v>2211</v>
      </c>
      <c r="E261" s="1126" t="s">
        <v>2253</v>
      </c>
      <c r="F261" s="1125">
        <v>287</v>
      </c>
      <c r="G261" s="1126" t="s">
        <v>753</v>
      </c>
      <c r="H261" s="1125">
        <v>1</v>
      </c>
      <c r="I261" s="1175" t="s">
        <v>2226</v>
      </c>
      <c r="J261" s="1126">
        <v>1</v>
      </c>
      <c r="K261" s="1125">
        <v>24</v>
      </c>
      <c r="L261" s="1125">
        <v>1</v>
      </c>
      <c r="M261" s="1125">
        <v>1</v>
      </c>
      <c r="N261" s="1126" t="s">
        <v>1259</v>
      </c>
      <c r="O261" s="1125">
        <v>13</v>
      </c>
      <c r="P261" s="1164">
        <v>0</v>
      </c>
      <c r="Q261" s="1164">
        <v>40231.68</v>
      </c>
      <c r="R261" s="1164">
        <v>40231.68</v>
      </c>
      <c r="S261" s="1164">
        <v>44501.68</v>
      </c>
      <c r="T261" s="1164">
        <v>44501.68</v>
      </c>
      <c r="U261" s="1164">
        <v>44501.68</v>
      </c>
      <c r="V261" s="1164">
        <v>44501.68</v>
      </c>
      <c r="W261" s="1164"/>
    </row>
    <row r="262" spans="1:23" s="1129" customFormat="1" x14ac:dyDescent="0.25">
      <c r="A262" s="1123">
        <v>4081800500</v>
      </c>
      <c r="B262" s="1125">
        <v>2</v>
      </c>
      <c r="C262" s="1125">
        <v>4</v>
      </c>
      <c r="D262" s="1127" t="s">
        <v>2211</v>
      </c>
      <c r="E262" s="1126" t="s">
        <v>2253</v>
      </c>
      <c r="F262" s="1125">
        <v>287</v>
      </c>
      <c r="G262" s="1126" t="s">
        <v>753</v>
      </c>
      <c r="H262" s="1125">
        <v>1</v>
      </c>
      <c r="I262" s="1175" t="s">
        <v>2228</v>
      </c>
      <c r="J262" s="1126">
        <v>1</v>
      </c>
      <c r="K262" s="1125">
        <v>24</v>
      </c>
      <c r="L262" s="1125">
        <v>1</v>
      </c>
      <c r="M262" s="1125">
        <v>1</v>
      </c>
      <c r="N262" s="1126" t="s">
        <v>1259</v>
      </c>
      <c r="O262" s="1125">
        <v>13</v>
      </c>
      <c r="P262" s="1164">
        <v>0</v>
      </c>
      <c r="Q262" s="1164">
        <v>58428.61</v>
      </c>
      <c r="R262" s="1164">
        <v>58428.61</v>
      </c>
      <c r="S262" s="1164">
        <v>57404.49</v>
      </c>
      <c r="T262" s="1164">
        <v>57404.49</v>
      </c>
      <c r="U262" s="1164">
        <v>57404.49</v>
      </c>
      <c r="V262" s="1164">
        <v>57404.49</v>
      </c>
      <c r="W262" s="1164"/>
    </row>
    <row r="263" spans="1:23" s="1129" customFormat="1" x14ac:dyDescent="0.25">
      <c r="A263" s="1123">
        <v>4081800500</v>
      </c>
      <c r="B263" s="1125">
        <v>2</v>
      </c>
      <c r="C263" s="1125">
        <v>4</v>
      </c>
      <c r="D263" s="1127" t="s">
        <v>2211</v>
      </c>
      <c r="E263" s="1126" t="s">
        <v>2253</v>
      </c>
      <c r="F263" s="1125">
        <v>287</v>
      </c>
      <c r="G263" s="1126" t="s">
        <v>753</v>
      </c>
      <c r="H263" s="1125">
        <v>1</v>
      </c>
      <c r="I263" s="1175" t="s">
        <v>1290</v>
      </c>
      <c r="J263" s="1126">
        <v>1</v>
      </c>
      <c r="K263" s="1125">
        <v>24</v>
      </c>
      <c r="L263" s="1125">
        <v>1</v>
      </c>
      <c r="M263" s="1125">
        <v>1</v>
      </c>
      <c r="N263" s="1126" t="s">
        <v>1259</v>
      </c>
      <c r="O263" s="1125">
        <v>13</v>
      </c>
      <c r="P263" s="1164">
        <v>0</v>
      </c>
      <c r="Q263" s="1164">
        <v>13278</v>
      </c>
      <c r="R263" s="1164">
        <v>13278</v>
      </c>
      <c r="S263" s="1164">
        <v>18476.009999999998</v>
      </c>
      <c r="T263" s="1164">
        <v>18476.009999999998</v>
      </c>
      <c r="U263" s="1164">
        <v>18476.009999999998</v>
      </c>
      <c r="V263" s="1164">
        <v>18476.009999999998</v>
      </c>
      <c r="W263" s="1164"/>
    </row>
    <row r="264" spans="1:23" s="1129" customFormat="1" x14ac:dyDescent="0.25">
      <c r="A264" s="1123">
        <v>4081800500</v>
      </c>
      <c r="B264" s="1125">
        <v>2</v>
      </c>
      <c r="C264" s="1125">
        <v>4</v>
      </c>
      <c r="D264" s="1127" t="s">
        <v>2211</v>
      </c>
      <c r="E264" s="1126" t="s">
        <v>2253</v>
      </c>
      <c r="F264" s="1125">
        <v>287</v>
      </c>
      <c r="G264" s="1126" t="s">
        <v>753</v>
      </c>
      <c r="H264" s="1125">
        <v>1</v>
      </c>
      <c r="I264" s="1175" t="s">
        <v>2261</v>
      </c>
      <c r="J264" s="1126">
        <v>1</v>
      </c>
      <c r="K264" s="1125">
        <v>24</v>
      </c>
      <c r="L264" s="1125">
        <v>1</v>
      </c>
      <c r="M264" s="1125">
        <v>1</v>
      </c>
      <c r="N264" s="1126" t="s">
        <v>1259</v>
      </c>
      <c r="O264" s="1125">
        <v>13</v>
      </c>
      <c r="P264" s="1164">
        <v>0</v>
      </c>
      <c r="Q264" s="1164">
        <v>48092.480000000003</v>
      </c>
      <c r="R264" s="1164">
        <v>48092.480000000003</v>
      </c>
      <c r="S264" s="1164">
        <v>48733.48</v>
      </c>
      <c r="T264" s="1164">
        <v>48733.48</v>
      </c>
      <c r="U264" s="1164">
        <v>48733.48</v>
      </c>
      <c r="V264" s="1164">
        <v>48733.48</v>
      </c>
      <c r="W264" s="1164"/>
    </row>
    <row r="265" spans="1:23" s="1129" customFormat="1" x14ac:dyDescent="0.25">
      <c r="A265" s="1123">
        <v>4081800500</v>
      </c>
      <c r="B265" s="1125">
        <v>2</v>
      </c>
      <c r="C265" s="1125">
        <v>4</v>
      </c>
      <c r="D265" s="1127" t="s">
        <v>2211</v>
      </c>
      <c r="E265" s="1126" t="s">
        <v>2253</v>
      </c>
      <c r="F265" s="1125">
        <v>287</v>
      </c>
      <c r="G265" s="1126" t="s">
        <v>753</v>
      </c>
      <c r="H265" s="1125">
        <v>1</v>
      </c>
      <c r="I265" s="1175" t="s">
        <v>1291</v>
      </c>
      <c r="J265" s="1126">
        <v>1</v>
      </c>
      <c r="K265" s="1125">
        <v>24</v>
      </c>
      <c r="L265" s="1125">
        <v>1</v>
      </c>
      <c r="M265" s="1125">
        <v>1</v>
      </c>
      <c r="N265" s="1126" t="s">
        <v>1259</v>
      </c>
      <c r="O265" s="1125">
        <v>13</v>
      </c>
      <c r="P265" s="1164">
        <v>26000</v>
      </c>
      <c r="Q265" s="1164">
        <v>73624.990000000005</v>
      </c>
      <c r="R265" s="1164">
        <v>99624.99</v>
      </c>
      <c r="S265" s="1164">
        <v>104224.99</v>
      </c>
      <c r="T265" s="1164">
        <v>104224.99</v>
      </c>
      <c r="U265" s="1164">
        <v>104224.99</v>
      </c>
      <c r="V265" s="1164">
        <v>104224.99</v>
      </c>
      <c r="W265" s="1164"/>
    </row>
    <row r="266" spans="1:23" s="1129" customFormat="1" x14ac:dyDescent="0.25">
      <c r="A266" s="1123">
        <v>4081800500</v>
      </c>
      <c r="B266" s="1125">
        <v>2</v>
      </c>
      <c r="C266" s="1125">
        <v>4</v>
      </c>
      <c r="D266" s="1127" t="s">
        <v>2211</v>
      </c>
      <c r="E266" s="1126" t="s">
        <v>2253</v>
      </c>
      <c r="F266" s="1125">
        <v>287</v>
      </c>
      <c r="G266" s="1126" t="s">
        <v>753</v>
      </c>
      <c r="H266" s="1125">
        <v>1</v>
      </c>
      <c r="I266" s="1175" t="s">
        <v>2209</v>
      </c>
      <c r="J266" s="1126">
        <v>1</v>
      </c>
      <c r="K266" s="1125">
        <v>24</v>
      </c>
      <c r="L266" s="1125">
        <v>1</v>
      </c>
      <c r="M266" s="1125">
        <v>1</v>
      </c>
      <c r="N266" s="1126" t="s">
        <v>1259</v>
      </c>
      <c r="O266" s="1125">
        <v>13</v>
      </c>
      <c r="P266" s="1164">
        <v>24000</v>
      </c>
      <c r="Q266" s="1164">
        <v>10405.540000000001</v>
      </c>
      <c r="R266" s="1164">
        <v>34405.54</v>
      </c>
      <c r="S266" s="1164">
        <v>34405.54</v>
      </c>
      <c r="T266" s="1164">
        <v>34405.54</v>
      </c>
      <c r="U266" s="1164">
        <v>34405.54</v>
      </c>
      <c r="V266" s="1164">
        <v>34405.54</v>
      </c>
      <c r="W266" s="1164"/>
    </row>
    <row r="267" spans="1:23" s="1129" customFormat="1" x14ac:dyDescent="0.25">
      <c r="A267" s="1123">
        <v>4081800500</v>
      </c>
      <c r="B267" s="1125">
        <v>2</v>
      </c>
      <c r="C267" s="1125">
        <v>4</v>
      </c>
      <c r="D267" s="1127" t="s">
        <v>2211</v>
      </c>
      <c r="E267" s="1126" t="s">
        <v>2253</v>
      </c>
      <c r="F267" s="1125">
        <v>287</v>
      </c>
      <c r="G267" s="1126" t="s">
        <v>753</v>
      </c>
      <c r="H267" s="1125">
        <v>1</v>
      </c>
      <c r="I267" s="1175" t="s">
        <v>2232</v>
      </c>
      <c r="J267" s="1126">
        <v>1</v>
      </c>
      <c r="K267" s="1125">
        <v>24</v>
      </c>
      <c r="L267" s="1125">
        <v>1</v>
      </c>
      <c r="M267" s="1125">
        <v>1</v>
      </c>
      <c r="N267" s="1126" t="s">
        <v>1259</v>
      </c>
      <c r="O267" s="1125">
        <v>13</v>
      </c>
      <c r="P267" s="1164">
        <v>0</v>
      </c>
      <c r="Q267" s="1164">
        <v>2349.5</v>
      </c>
      <c r="R267" s="1164">
        <v>2349.5</v>
      </c>
      <c r="S267" s="1164">
        <v>3702.78</v>
      </c>
      <c r="T267" s="1164">
        <v>3702.78</v>
      </c>
      <c r="U267" s="1164">
        <v>3702.78</v>
      </c>
      <c r="V267" s="1164">
        <v>3702.78</v>
      </c>
      <c r="W267" s="1164"/>
    </row>
    <row r="268" spans="1:23" s="1129" customFormat="1" x14ac:dyDescent="0.25">
      <c r="A268" s="1123">
        <v>4081800500</v>
      </c>
      <c r="B268" s="1125">
        <v>2</v>
      </c>
      <c r="C268" s="1125">
        <v>4</v>
      </c>
      <c r="D268" s="1127" t="s">
        <v>2211</v>
      </c>
      <c r="E268" s="1126" t="s">
        <v>2253</v>
      </c>
      <c r="F268" s="1125">
        <v>287</v>
      </c>
      <c r="G268" s="1126" t="s">
        <v>753</v>
      </c>
      <c r="H268" s="1125">
        <v>1</v>
      </c>
      <c r="I268" s="1175" t="s">
        <v>2231</v>
      </c>
      <c r="J268" s="1126">
        <v>1</v>
      </c>
      <c r="K268" s="1125">
        <v>24</v>
      </c>
      <c r="L268" s="1125">
        <v>1</v>
      </c>
      <c r="M268" s="1125">
        <v>1</v>
      </c>
      <c r="N268" s="1126" t="s">
        <v>1259</v>
      </c>
      <c r="O268" s="1125">
        <v>13</v>
      </c>
      <c r="P268" s="1164">
        <v>5000</v>
      </c>
      <c r="Q268" s="1164">
        <v>981.13</v>
      </c>
      <c r="R268" s="1164">
        <v>5981.13</v>
      </c>
      <c r="S268" s="1164">
        <v>13025.72</v>
      </c>
      <c r="T268" s="1164">
        <v>13025.72</v>
      </c>
      <c r="U268" s="1164">
        <v>13025.72</v>
      </c>
      <c r="V268" s="1164">
        <v>13025.72</v>
      </c>
      <c r="W268" s="1164"/>
    </row>
    <row r="269" spans="1:23" s="1129" customFormat="1" x14ac:dyDescent="0.25">
      <c r="A269" s="1123">
        <v>4081800500</v>
      </c>
      <c r="B269" s="1125">
        <v>2</v>
      </c>
      <c r="C269" s="1125">
        <v>4</v>
      </c>
      <c r="D269" s="1127" t="s">
        <v>2211</v>
      </c>
      <c r="E269" s="1126" t="s">
        <v>2253</v>
      </c>
      <c r="F269" s="1125">
        <v>287</v>
      </c>
      <c r="G269" s="1126" t="s">
        <v>753</v>
      </c>
      <c r="H269" s="1125">
        <v>1</v>
      </c>
      <c r="I269" s="1175" t="s">
        <v>1292</v>
      </c>
      <c r="J269" s="1126">
        <v>1</v>
      </c>
      <c r="K269" s="1125">
        <v>24</v>
      </c>
      <c r="L269" s="1125">
        <v>1</v>
      </c>
      <c r="M269" s="1125">
        <v>1</v>
      </c>
      <c r="N269" s="1126" t="s">
        <v>1259</v>
      </c>
      <c r="O269" s="1125">
        <v>13</v>
      </c>
      <c r="P269" s="1164">
        <v>30000</v>
      </c>
      <c r="Q269" s="1164">
        <v>-17561.5</v>
      </c>
      <c r="R269" s="1164">
        <v>12438.5</v>
      </c>
      <c r="S269" s="1164">
        <v>15242</v>
      </c>
      <c r="T269" s="1164">
        <v>15242</v>
      </c>
      <c r="U269" s="1164">
        <v>15242</v>
      </c>
      <c r="V269" s="1164">
        <v>15242</v>
      </c>
      <c r="W269" s="1164"/>
    </row>
    <row r="270" spans="1:23" s="1129" customFormat="1" x14ac:dyDescent="0.25">
      <c r="A270" s="1123">
        <v>4081800500</v>
      </c>
      <c r="B270" s="1125">
        <v>2</v>
      </c>
      <c r="C270" s="1125">
        <v>4</v>
      </c>
      <c r="D270" s="1127" t="s">
        <v>2211</v>
      </c>
      <c r="E270" s="1126" t="s">
        <v>2253</v>
      </c>
      <c r="F270" s="1125">
        <v>287</v>
      </c>
      <c r="G270" s="1126" t="s">
        <v>753</v>
      </c>
      <c r="H270" s="1125">
        <v>1</v>
      </c>
      <c r="I270" s="1175" t="s">
        <v>1294</v>
      </c>
      <c r="J270" s="1126">
        <v>1</v>
      </c>
      <c r="K270" s="1125">
        <v>24</v>
      </c>
      <c r="L270" s="1125">
        <v>1</v>
      </c>
      <c r="M270" s="1125">
        <v>1</v>
      </c>
      <c r="N270" s="1126" t="s">
        <v>1259</v>
      </c>
      <c r="O270" s="1125">
        <v>13</v>
      </c>
      <c r="P270" s="1164">
        <v>15000</v>
      </c>
      <c r="Q270" s="1164">
        <v>0</v>
      </c>
      <c r="R270" s="1164">
        <v>15000</v>
      </c>
      <c r="S270" s="1164">
        <v>13317</v>
      </c>
      <c r="T270" s="1164">
        <v>13317</v>
      </c>
      <c r="U270" s="1164">
        <v>13317</v>
      </c>
      <c r="V270" s="1164">
        <v>13317</v>
      </c>
      <c r="W270" s="1164"/>
    </row>
    <row r="271" spans="1:23" s="1129" customFormat="1" x14ac:dyDescent="0.25">
      <c r="A271" s="1123">
        <v>4081800500</v>
      </c>
      <c r="B271" s="1125">
        <v>2</v>
      </c>
      <c r="C271" s="1125">
        <v>4</v>
      </c>
      <c r="D271" s="1127" t="s">
        <v>2211</v>
      </c>
      <c r="E271" s="1126" t="s">
        <v>2253</v>
      </c>
      <c r="F271" s="1125">
        <v>287</v>
      </c>
      <c r="G271" s="1126" t="s">
        <v>753</v>
      </c>
      <c r="H271" s="1125">
        <v>1</v>
      </c>
      <c r="I271" s="1175" t="s">
        <v>1295</v>
      </c>
      <c r="J271" s="1126">
        <v>1</v>
      </c>
      <c r="K271" s="1125">
        <v>24</v>
      </c>
      <c r="L271" s="1125">
        <v>1</v>
      </c>
      <c r="M271" s="1125">
        <v>1</v>
      </c>
      <c r="N271" s="1126" t="s">
        <v>1259</v>
      </c>
      <c r="O271" s="1125">
        <v>13</v>
      </c>
      <c r="P271" s="1164">
        <v>70000</v>
      </c>
      <c r="Q271" s="1164">
        <v>0</v>
      </c>
      <c r="R271" s="1164">
        <v>70000</v>
      </c>
      <c r="S271" s="1164">
        <v>56950.3</v>
      </c>
      <c r="T271" s="1164">
        <v>56950.3</v>
      </c>
      <c r="U271" s="1164">
        <v>56950.3</v>
      </c>
      <c r="V271" s="1164">
        <v>56950.3</v>
      </c>
      <c r="W271" s="1164"/>
    </row>
    <row r="272" spans="1:23" s="1129" customFormat="1" x14ac:dyDescent="0.25">
      <c r="A272" s="1123">
        <v>4081800500</v>
      </c>
      <c r="B272" s="1125">
        <v>2</v>
      </c>
      <c r="C272" s="1125">
        <v>4</v>
      </c>
      <c r="D272" s="1127" t="s">
        <v>2211</v>
      </c>
      <c r="E272" s="1126" t="s">
        <v>2253</v>
      </c>
      <c r="F272" s="1125">
        <v>287</v>
      </c>
      <c r="G272" s="1126" t="s">
        <v>753</v>
      </c>
      <c r="H272" s="1125">
        <v>1</v>
      </c>
      <c r="I272" s="1175" t="s">
        <v>1296</v>
      </c>
      <c r="J272" s="1126">
        <v>1</v>
      </c>
      <c r="K272" s="1125">
        <v>24</v>
      </c>
      <c r="L272" s="1125">
        <v>1</v>
      </c>
      <c r="M272" s="1125">
        <v>1</v>
      </c>
      <c r="N272" s="1126" t="s">
        <v>1259</v>
      </c>
      <c r="O272" s="1125">
        <v>13</v>
      </c>
      <c r="P272" s="1164">
        <v>0</v>
      </c>
      <c r="Q272" s="1164">
        <v>7219</v>
      </c>
      <c r="R272" s="1164">
        <v>7219</v>
      </c>
      <c r="S272" s="1164">
        <v>7219</v>
      </c>
      <c r="T272" s="1164">
        <v>7219</v>
      </c>
      <c r="U272" s="1164">
        <v>7219</v>
      </c>
      <c r="V272" s="1164">
        <v>7219</v>
      </c>
    </row>
    <row r="273" spans="1:23" s="1129" customFormat="1" x14ac:dyDescent="0.25">
      <c r="A273" s="1123">
        <v>4081800500</v>
      </c>
      <c r="B273" s="1125">
        <v>2</v>
      </c>
      <c r="C273" s="1125">
        <v>4</v>
      </c>
      <c r="D273" s="1127" t="s">
        <v>2211</v>
      </c>
      <c r="E273" s="1126" t="s">
        <v>2253</v>
      </c>
      <c r="F273" s="1125">
        <v>287</v>
      </c>
      <c r="G273" s="1126" t="s">
        <v>753</v>
      </c>
      <c r="H273" s="1125">
        <v>1</v>
      </c>
      <c r="I273" s="1175" t="s">
        <v>1297</v>
      </c>
      <c r="J273" s="1126">
        <v>1</v>
      </c>
      <c r="K273" s="1125">
        <v>24</v>
      </c>
      <c r="L273" s="1125">
        <v>1</v>
      </c>
      <c r="M273" s="1125">
        <v>1</v>
      </c>
      <c r="N273" s="1126" t="s">
        <v>1259</v>
      </c>
      <c r="O273" s="1125">
        <v>13</v>
      </c>
      <c r="P273" s="1164">
        <v>0</v>
      </c>
      <c r="Q273" s="1164">
        <v>13254</v>
      </c>
      <c r="R273" s="1164">
        <v>13254</v>
      </c>
      <c r="S273" s="1164">
        <v>13254</v>
      </c>
      <c r="T273" s="1164">
        <v>13254</v>
      </c>
      <c r="U273" s="1164">
        <v>13254</v>
      </c>
      <c r="V273" s="1164">
        <v>13254</v>
      </c>
    </row>
    <row r="274" spans="1:23" s="1129" customFormat="1" x14ac:dyDescent="0.25">
      <c r="A274" s="1123">
        <v>4081800500</v>
      </c>
      <c r="B274" s="1125">
        <v>2</v>
      </c>
      <c r="C274" s="1125">
        <v>4</v>
      </c>
      <c r="D274" s="1127" t="s">
        <v>2211</v>
      </c>
      <c r="E274" s="1126" t="s">
        <v>2253</v>
      </c>
      <c r="F274" s="1125">
        <v>287</v>
      </c>
      <c r="G274" s="1126" t="s">
        <v>753</v>
      </c>
      <c r="H274" s="1125">
        <v>1</v>
      </c>
      <c r="I274" s="1175" t="s">
        <v>1298</v>
      </c>
      <c r="J274" s="1126">
        <v>1</v>
      </c>
      <c r="K274" s="1125">
        <v>24</v>
      </c>
      <c r="L274" s="1125">
        <v>1</v>
      </c>
      <c r="M274" s="1125">
        <v>1</v>
      </c>
      <c r="N274" s="1126" t="s">
        <v>1259</v>
      </c>
      <c r="O274" s="1125">
        <v>13</v>
      </c>
      <c r="P274" s="1164">
        <v>3000</v>
      </c>
      <c r="Q274" s="1164">
        <v>0</v>
      </c>
      <c r="R274" s="1164">
        <v>3000</v>
      </c>
      <c r="S274" s="1164">
        <v>1284.03</v>
      </c>
      <c r="T274" s="1164">
        <v>1284.03</v>
      </c>
      <c r="U274" s="1164">
        <v>1284.03</v>
      </c>
      <c r="V274" s="1164">
        <v>1284.03</v>
      </c>
      <c r="W274" s="1164"/>
    </row>
    <row r="275" spans="1:23" s="1129" customFormat="1" x14ac:dyDescent="0.25">
      <c r="A275" s="1123">
        <v>4081800500</v>
      </c>
      <c r="B275" s="1125">
        <v>2</v>
      </c>
      <c r="C275" s="1125">
        <v>4</v>
      </c>
      <c r="D275" s="1127" t="s">
        <v>2211</v>
      </c>
      <c r="E275" s="1126" t="s">
        <v>2253</v>
      </c>
      <c r="F275" s="1125">
        <v>287</v>
      </c>
      <c r="G275" s="1126" t="s">
        <v>753</v>
      </c>
      <c r="H275" s="1125">
        <v>1</v>
      </c>
      <c r="I275" s="1175" t="s">
        <v>1299</v>
      </c>
      <c r="J275" s="1126">
        <v>1</v>
      </c>
      <c r="K275" s="1125">
        <v>24</v>
      </c>
      <c r="L275" s="1125">
        <v>1</v>
      </c>
      <c r="M275" s="1125">
        <v>1</v>
      </c>
      <c r="N275" s="1126" t="s">
        <v>1259</v>
      </c>
      <c r="O275" s="1125">
        <v>13</v>
      </c>
      <c r="P275" s="1164">
        <v>55000</v>
      </c>
      <c r="Q275" s="1164">
        <v>0</v>
      </c>
      <c r="R275" s="1164">
        <v>55000</v>
      </c>
      <c r="S275" s="1164">
        <v>27467.61</v>
      </c>
      <c r="T275" s="1164">
        <v>27467.61</v>
      </c>
      <c r="U275" s="1164">
        <v>27467.61</v>
      </c>
      <c r="V275" s="1164">
        <v>27467.61</v>
      </c>
      <c r="W275" s="1164"/>
    </row>
    <row r="276" spans="1:23" s="1129" customFormat="1" x14ac:dyDescent="0.25">
      <c r="A276" s="1123">
        <v>4081800500</v>
      </c>
      <c r="B276" s="1125">
        <v>2</v>
      </c>
      <c r="C276" s="1125">
        <v>4</v>
      </c>
      <c r="D276" s="1127" t="s">
        <v>2211</v>
      </c>
      <c r="E276" s="1126" t="s">
        <v>2253</v>
      </c>
      <c r="F276" s="1125">
        <v>287</v>
      </c>
      <c r="G276" s="1126" t="s">
        <v>753</v>
      </c>
      <c r="H276" s="1125">
        <v>1</v>
      </c>
      <c r="I276" s="1175" t="s">
        <v>2196</v>
      </c>
      <c r="J276" s="1126">
        <v>1</v>
      </c>
      <c r="K276" s="1125">
        <v>24</v>
      </c>
      <c r="L276" s="1125">
        <v>1</v>
      </c>
      <c r="M276" s="1125">
        <v>1</v>
      </c>
      <c r="N276" s="1126" t="s">
        <v>1259</v>
      </c>
      <c r="O276" s="1125">
        <v>13</v>
      </c>
      <c r="P276" s="1164">
        <v>16000</v>
      </c>
      <c r="Q276" s="1164">
        <v>33047.660000000003</v>
      </c>
      <c r="R276" s="1164">
        <v>49047.66</v>
      </c>
      <c r="S276" s="1164">
        <v>49047.66</v>
      </c>
      <c r="T276" s="1164">
        <v>49047.66</v>
      </c>
      <c r="U276" s="1164">
        <v>49047.66</v>
      </c>
      <c r="V276" s="1164">
        <v>49047.66</v>
      </c>
    </row>
    <row r="277" spans="1:23" s="1129" customFormat="1" x14ac:dyDescent="0.25">
      <c r="A277" s="1123">
        <v>4081800500</v>
      </c>
      <c r="B277" s="1125">
        <v>2</v>
      </c>
      <c r="C277" s="1125">
        <v>4</v>
      </c>
      <c r="D277" s="1127" t="s">
        <v>2211</v>
      </c>
      <c r="E277" s="1126" t="s">
        <v>2253</v>
      </c>
      <c r="F277" s="1125">
        <v>287</v>
      </c>
      <c r="G277" s="1126" t="s">
        <v>753</v>
      </c>
      <c r="H277" s="1125">
        <v>1</v>
      </c>
      <c r="I277" s="1175" t="s">
        <v>2242</v>
      </c>
      <c r="J277" s="1126">
        <v>1</v>
      </c>
      <c r="K277" s="1125">
        <v>24</v>
      </c>
      <c r="L277" s="1125">
        <v>1</v>
      </c>
      <c r="M277" s="1125">
        <v>1</v>
      </c>
      <c r="N277" s="1126" t="s">
        <v>1259</v>
      </c>
      <c r="O277" s="1125">
        <v>13</v>
      </c>
      <c r="P277" s="1164">
        <v>0</v>
      </c>
      <c r="Q277" s="1164">
        <v>18168</v>
      </c>
      <c r="R277" s="1164">
        <v>18168</v>
      </c>
      <c r="S277" s="1164">
        <v>17472</v>
      </c>
      <c r="T277" s="1164">
        <v>17472</v>
      </c>
      <c r="U277" s="1164">
        <v>17472</v>
      </c>
      <c r="V277" s="1164">
        <v>17472</v>
      </c>
      <c r="W277" s="1164"/>
    </row>
    <row r="278" spans="1:23" s="1129" customFormat="1" x14ac:dyDescent="0.25">
      <c r="A278" s="1123">
        <v>4081800500</v>
      </c>
      <c r="B278" s="1125">
        <v>2</v>
      </c>
      <c r="C278" s="1125">
        <v>4</v>
      </c>
      <c r="D278" s="1127" t="s">
        <v>2211</v>
      </c>
      <c r="E278" s="1126" t="s">
        <v>2253</v>
      </c>
      <c r="F278" s="1125">
        <v>287</v>
      </c>
      <c r="G278" s="1126" t="s">
        <v>753</v>
      </c>
      <c r="H278" s="1125">
        <v>1</v>
      </c>
      <c r="I278" s="1175" t="s">
        <v>1301</v>
      </c>
      <c r="J278" s="1126">
        <v>1</v>
      </c>
      <c r="K278" s="1125">
        <v>24</v>
      </c>
      <c r="L278" s="1125">
        <v>1</v>
      </c>
      <c r="M278" s="1125">
        <v>1</v>
      </c>
      <c r="N278" s="1126" t="s">
        <v>1259</v>
      </c>
      <c r="O278" s="1125">
        <v>13</v>
      </c>
      <c r="P278" s="1164">
        <v>0</v>
      </c>
      <c r="Q278" s="1164">
        <v>74555.199999999997</v>
      </c>
      <c r="R278" s="1164">
        <v>74555.199999999997</v>
      </c>
      <c r="S278" s="1164">
        <v>74555.199999999997</v>
      </c>
      <c r="T278" s="1164">
        <v>74555.199999999997</v>
      </c>
      <c r="U278" s="1164">
        <v>74555.199999999997</v>
      </c>
      <c r="V278" s="1164">
        <v>74555.199999999997</v>
      </c>
      <c r="W278" s="1164"/>
    </row>
    <row r="279" spans="1:23" s="1129" customFormat="1" x14ac:dyDescent="0.25">
      <c r="A279" s="1123">
        <v>4081800500</v>
      </c>
      <c r="B279" s="1125">
        <v>2</v>
      </c>
      <c r="C279" s="1125">
        <v>4</v>
      </c>
      <c r="D279" s="1127" t="s">
        <v>2211</v>
      </c>
      <c r="E279" s="1126" t="s">
        <v>2253</v>
      </c>
      <c r="F279" s="1125">
        <v>287</v>
      </c>
      <c r="G279" s="1126" t="s">
        <v>753</v>
      </c>
      <c r="H279" s="1125">
        <v>1</v>
      </c>
      <c r="I279" s="1175" t="s">
        <v>1303</v>
      </c>
      <c r="J279" s="1126">
        <v>1</v>
      </c>
      <c r="K279" s="1125">
        <v>24</v>
      </c>
      <c r="L279" s="1125">
        <v>1</v>
      </c>
      <c r="M279" s="1125">
        <v>1</v>
      </c>
      <c r="N279" s="1126" t="s">
        <v>1259</v>
      </c>
      <c r="O279" s="1125">
        <v>13</v>
      </c>
      <c r="P279" s="1164">
        <v>25000</v>
      </c>
      <c r="Q279" s="1164">
        <v>0</v>
      </c>
      <c r="R279" s="1164">
        <v>25000</v>
      </c>
      <c r="S279" s="1164">
        <v>4825.57</v>
      </c>
      <c r="T279" s="1164">
        <v>4825.57</v>
      </c>
      <c r="U279" s="1164">
        <v>4825.57</v>
      </c>
      <c r="V279" s="1164">
        <v>4825.57</v>
      </c>
      <c r="W279" s="1164"/>
    </row>
    <row r="280" spans="1:23" s="1129" customFormat="1" x14ac:dyDescent="0.25">
      <c r="A280" s="1123">
        <v>4081800500</v>
      </c>
      <c r="B280" s="1125">
        <v>2</v>
      </c>
      <c r="C280" s="1125">
        <v>4</v>
      </c>
      <c r="D280" s="1127" t="s">
        <v>2211</v>
      </c>
      <c r="E280" s="1126" t="s">
        <v>2253</v>
      </c>
      <c r="F280" s="1125">
        <v>287</v>
      </c>
      <c r="G280" s="1126" t="s">
        <v>753</v>
      </c>
      <c r="H280" s="1125">
        <v>1</v>
      </c>
      <c r="I280" s="1175" t="s">
        <v>1304</v>
      </c>
      <c r="J280" s="1126">
        <v>1</v>
      </c>
      <c r="K280" s="1125">
        <v>24</v>
      </c>
      <c r="L280" s="1125">
        <v>1</v>
      </c>
      <c r="M280" s="1125">
        <v>1</v>
      </c>
      <c r="N280" s="1126" t="s">
        <v>1259</v>
      </c>
      <c r="O280" s="1125">
        <v>13</v>
      </c>
      <c r="P280" s="1164">
        <v>85000</v>
      </c>
      <c r="Q280" s="1164">
        <v>-37199.81</v>
      </c>
      <c r="R280" s="1164">
        <v>47800.19</v>
      </c>
      <c r="S280" s="1164">
        <v>50958.2</v>
      </c>
      <c r="T280" s="1164">
        <v>50958.2</v>
      </c>
      <c r="U280" s="1164">
        <v>50958.2</v>
      </c>
      <c r="V280" s="1164">
        <v>50958.2</v>
      </c>
      <c r="W280" s="1164"/>
    </row>
    <row r="281" spans="1:23" s="1129" customFormat="1" x14ac:dyDescent="0.25">
      <c r="A281" s="1123">
        <v>4081800500</v>
      </c>
      <c r="B281" s="1125">
        <v>2</v>
      </c>
      <c r="C281" s="1125">
        <v>4</v>
      </c>
      <c r="D281" s="1127" t="s">
        <v>2211</v>
      </c>
      <c r="E281" s="1126" t="s">
        <v>2253</v>
      </c>
      <c r="F281" s="1125">
        <v>287</v>
      </c>
      <c r="G281" s="1126" t="s">
        <v>753</v>
      </c>
      <c r="H281" s="1125">
        <v>1</v>
      </c>
      <c r="I281" s="1175" t="s">
        <v>2205</v>
      </c>
      <c r="J281" s="1126">
        <v>1</v>
      </c>
      <c r="K281" s="1125">
        <v>24</v>
      </c>
      <c r="L281" s="1125">
        <v>1</v>
      </c>
      <c r="M281" s="1125">
        <v>1</v>
      </c>
      <c r="N281" s="1126" t="s">
        <v>1259</v>
      </c>
      <c r="O281" s="1125">
        <v>13</v>
      </c>
      <c r="P281" s="1164">
        <v>5000</v>
      </c>
      <c r="Q281" s="1164">
        <v>0</v>
      </c>
      <c r="R281" s="1164">
        <v>5000</v>
      </c>
      <c r="S281" s="1164">
        <v>0</v>
      </c>
      <c r="T281" s="1164">
        <v>0</v>
      </c>
      <c r="U281" s="1164">
        <v>0</v>
      </c>
      <c r="V281" s="1164">
        <v>0</v>
      </c>
      <c r="W281" s="1164"/>
    </row>
    <row r="282" spans="1:23" s="1129" customFormat="1" x14ac:dyDescent="0.25">
      <c r="A282" s="1123">
        <v>4081800500</v>
      </c>
      <c r="B282" s="1125">
        <v>2</v>
      </c>
      <c r="C282" s="1125">
        <v>4</v>
      </c>
      <c r="D282" s="1127" t="s">
        <v>2211</v>
      </c>
      <c r="E282" s="1126" t="s">
        <v>2253</v>
      </c>
      <c r="F282" s="1125">
        <v>287</v>
      </c>
      <c r="G282" s="1126" t="s">
        <v>753</v>
      </c>
      <c r="H282" s="1125">
        <v>1</v>
      </c>
      <c r="I282" s="1175" t="s">
        <v>1305</v>
      </c>
      <c r="J282" s="1126">
        <v>1</v>
      </c>
      <c r="K282" s="1125">
        <v>24</v>
      </c>
      <c r="L282" s="1125">
        <v>1</v>
      </c>
      <c r="M282" s="1125">
        <v>1</v>
      </c>
      <c r="N282" s="1126" t="s">
        <v>1259</v>
      </c>
      <c r="O282" s="1125">
        <v>13</v>
      </c>
      <c r="P282" s="1164">
        <v>95000</v>
      </c>
      <c r="Q282" s="1164">
        <v>72506.649999999994</v>
      </c>
      <c r="R282" s="1164">
        <v>167506.65</v>
      </c>
      <c r="S282" s="1164">
        <v>167506.65</v>
      </c>
      <c r="T282" s="1164">
        <v>167506.65</v>
      </c>
      <c r="U282" s="1164">
        <v>167506.65</v>
      </c>
      <c r="V282" s="1164">
        <v>167506.65</v>
      </c>
      <c r="W282" s="1164"/>
    </row>
    <row r="283" spans="1:23" s="1129" customFormat="1" x14ac:dyDescent="0.25">
      <c r="A283" s="1123">
        <v>4081800500</v>
      </c>
      <c r="B283" s="1125">
        <v>2</v>
      </c>
      <c r="C283" s="1125">
        <v>4</v>
      </c>
      <c r="D283" s="1127" t="s">
        <v>2211</v>
      </c>
      <c r="E283" s="1126" t="s">
        <v>2253</v>
      </c>
      <c r="F283" s="1125">
        <v>287</v>
      </c>
      <c r="G283" s="1126" t="s">
        <v>753</v>
      </c>
      <c r="H283" s="1125">
        <v>1</v>
      </c>
      <c r="I283" s="1175" t="s">
        <v>2206</v>
      </c>
      <c r="J283" s="1126">
        <v>1</v>
      </c>
      <c r="K283" s="1125">
        <v>24</v>
      </c>
      <c r="L283" s="1125">
        <v>1</v>
      </c>
      <c r="M283" s="1125">
        <v>1</v>
      </c>
      <c r="N283" s="1126" t="s">
        <v>1259</v>
      </c>
      <c r="O283" s="1125">
        <v>13</v>
      </c>
      <c r="P283" s="1164">
        <v>3000</v>
      </c>
      <c r="Q283" s="1164">
        <v>8511.5</v>
      </c>
      <c r="R283" s="1164">
        <v>11511.5</v>
      </c>
      <c r="S283" s="1164">
        <v>11511.5</v>
      </c>
      <c r="T283" s="1164">
        <v>11511.5</v>
      </c>
      <c r="U283" s="1164">
        <v>11511.5</v>
      </c>
      <c r="V283" s="1164">
        <v>11511.5</v>
      </c>
      <c r="W283" s="1164"/>
    </row>
    <row r="284" spans="1:23" s="1129" customFormat="1" x14ac:dyDescent="0.25">
      <c r="A284" s="1123">
        <v>4081800500</v>
      </c>
      <c r="B284" s="1125">
        <v>2</v>
      </c>
      <c r="C284" s="1125">
        <v>4</v>
      </c>
      <c r="D284" s="1127" t="s">
        <v>2211</v>
      </c>
      <c r="E284" s="1126" t="s">
        <v>2253</v>
      </c>
      <c r="F284" s="1125">
        <v>287</v>
      </c>
      <c r="G284" s="1126" t="s">
        <v>753</v>
      </c>
      <c r="H284" s="1125">
        <v>1</v>
      </c>
      <c r="I284" s="1175" t="s">
        <v>1306</v>
      </c>
      <c r="J284" s="1126">
        <v>1</v>
      </c>
      <c r="K284" s="1125">
        <v>24</v>
      </c>
      <c r="L284" s="1125">
        <v>1</v>
      </c>
      <c r="M284" s="1125">
        <v>1</v>
      </c>
      <c r="N284" s="1126" t="s">
        <v>1259</v>
      </c>
      <c r="O284" s="1125">
        <v>13</v>
      </c>
      <c r="P284" s="1164">
        <v>150000</v>
      </c>
      <c r="Q284" s="1164">
        <v>89686.07</v>
      </c>
      <c r="R284" s="1164">
        <v>239686.07</v>
      </c>
      <c r="S284" s="1164">
        <v>240131.07</v>
      </c>
      <c r="T284" s="1164">
        <v>240131.07</v>
      </c>
      <c r="U284" s="1164">
        <v>240131.07</v>
      </c>
      <c r="V284" s="1164">
        <v>240131.07</v>
      </c>
      <c r="W284" s="1164"/>
    </row>
    <row r="285" spans="1:23" s="1129" customFormat="1" x14ac:dyDescent="0.25">
      <c r="A285" s="1123">
        <v>4081800500</v>
      </c>
      <c r="B285" s="1125">
        <v>2</v>
      </c>
      <c r="C285" s="1125">
        <v>4</v>
      </c>
      <c r="D285" s="1127" t="s">
        <v>2211</v>
      </c>
      <c r="E285" s="1126" t="s">
        <v>2253</v>
      </c>
      <c r="F285" s="1125">
        <v>287</v>
      </c>
      <c r="G285" s="1126" t="s">
        <v>753</v>
      </c>
      <c r="H285" s="1125">
        <v>1</v>
      </c>
      <c r="I285" s="1175" t="s">
        <v>1307</v>
      </c>
      <c r="J285" s="1126">
        <v>1</v>
      </c>
      <c r="K285" s="1125">
        <v>24</v>
      </c>
      <c r="L285" s="1125">
        <v>1</v>
      </c>
      <c r="M285" s="1125">
        <v>1</v>
      </c>
      <c r="N285" s="1126" t="s">
        <v>1259</v>
      </c>
      <c r="O285" s="1125">
        <v>13</v>
      </c>
      <c r="P285" s="1164">
        <v>0</v>
      </c>
      <c r="Q285" s="1164">
        <v>178</v>
      </c>
      <c r="R285" s="1164">
        <v>178</v>
      </c>
      <c r="S285" s="1164">
        <v>178</v>
      </c>
      <c r="T285" s="1164">
        <v>178</v>
      </c>
      <c r="U285" s="1164">
        <v>178</v>
      </c>
      <c r="V285" s="1164">
        <v>178</v>
      </c>
      <c r="W285" s="1164"/>
    </row>
    <row r="286" spans="1:23" s="1129" customFormat="1" x14ac:dyDescent="0.25">
      <c r="A286" s="1123">
        <v>4081800500</v>
      </c>
      <c r="B286" s="1125">
        <v>2</v>
      </c>
      <c r="C286" s="1125">
        <v>4</v>
      </c>
      <c r="D286" s="1127" t="s">
        <v>2211</v>
      </c>
      <c r="E286" s="1126" t="s">
        <v>2253</v>
      </c>
      <c r="F286" s="1125">
        <v>287</v>
      </c>
      <c r="G286" s="1126" t="s">
        <v>753</v>
      </c>
      <c r="H286" s="1125">
        <v>1</v>
      </c>
      <c r="I286" s="1175" t="s">
        <v>1308</v>
      </c>
      <c r="J286" s="1126">
        <v>1</v>
      </c>
      <c r="K286" s="1125">
        <v>24</v>
      </c>
      <c r="L286" s="1125">
        <v>1</v>
      </c>
      <c r="M286" s="1125">
        <v>1</v>
      </c>
      <c r="N286" s="1126" t="s">
        <v>1259</v>
      </c>
      <c r="O286" s="1125">
        <v>13</v>
      </c>
      <c r="P286" s="1164">
        <v>7000</v>
      </c>
      <c r="Q286" s="1164">
        <v>0</v>
      </c>
      <c r="R286" s="1164">
        <v>7000</v>
      </c>
      <c r="S286" s="1164">
        <v>561.13</v>
      </c>
      <c r="T286" s="1164">
        <v>561.13</v>
      </c>
      <c r="U286" s="1164">
        <v>561.13</v>
      </c>
      <c r="V286" s="1164">
        <v>561.13</v>
      </c>
      <c r="W286" s="1164"/>
    </row>
    <row r="287" spans="1:23" s="1129" customFormat="1" x14ac:dyDescent="0.25">
      <c r="A287" s="1123">
        <v>4081800500</v>
      </c>
      <c r="B287" s="1125">
        <v>2</v>
      </c>
      <c r="C287" s="1125">
        <v>4</v>
      </c>
      <c r="D287" s="1127" t="s">
        <v>2211</v>
      </c>
      <c r="E287" s="1126" t="s">
        <v>2253</v>
      </c>
      <c r="F287" s="1125">
        <v>287</v>
      </c>
      <c r="G287" s="1126" t="s">
        <v>753</v>
      </c>
      <c r="H287" s="1125">
        <v>1</v>
      </c>
      <c r="I287" s="1175" t="s">
        <v>1309</v>
      </c>
      <c r="J287" s="1126">
        <v>1</v>
      </c>
      <c r="K287" s="1125">
        <v>24</v>
      </c>
      <c r="L287" s="1125">
        <v>1</v>
      </c>
      <c r="M287" s="1125">
        <v>1</v>
      </c>
      <c r="N287" s="1126" t="s">
        <v>1259</v>
      </c>
      <c r="O287" s="1125">
        <v>13</v>
      </c>
      <c r="P287" s="1164">
        <v>15000</v>
      </c>
      <c r="Q287" s="1164">
        <v>0</v>
      </c>
      <c r="R287" s="1164">
        <v>15000</v>
      </c>
      <c r="S287" s="1164">
        <v>171</v>
      </c>
      <c r="T287" s="1164">
        <v>171</v>
      </c>
      <c r="U287" s="1164">
        <v>171</v>
      </c>
      <c r="V287" s="1164">
        <v>171</v>
      </c>
      <c r="W287" s="1164"/>
    </row>
    <row r="288" spans="1:23" s="1129" customFormat="1" x14ac:dyDescent="0.25">
      <c r="A288" s="1123">
        <v>4081800500</v>
      </c>
      <c r="B288" s="1125">
        <v>2</v>
      </c>
      <c r="C288" s="1125">
        <v>4</v>
      </c>
      <c r="D288" s="1127" t="s">
        <v>2211</v>
      </c>
      <c r="E288" s="1126" t="s">
        <v>2253</v>
      </c>
      <c r="F288" s="1125">
        <v>287</v>
      </c>
      <c r="G288" s="1126" t="s">
        <v>753</v>
      </c>
      <c r="H288" s="1125">
        <v>1</v>
      </c>
      <c r="I288" s="1175" t="s">
        <v>1310</v>
      </c>
      <c r="J288" s="1126">
        <v>1</v>
      </c>
      <c r="K288" s="1125">
        <v>24</v>
      </c>
      <c r="L288" s="1125">
        <v>1</v>
      </c>
      <c r="M288" s="1125">
        <v>1</v>
      </c>
      <c r="N288" s="1126" t="s">
        <v>1259</v>
      </c>
      <c r="O288" s="1125">
        <v>13</v>
      </c>
      <c r="P288" s="1164">
        <v>24000</v>
      </c>
      <c r="Q288" s="1164">
        <v>0</v>
      </c>
      <c r="R288" s="1164">
        <v>24000</v>
      </c>
      <c r="S288" s="1164">
        <v>19900</v>
      </c>
      <c r="T288" s="1164">
        <v>19900</v>
      </c>
      <c r="U288" s="1164">
        <v>19900</v>
      </c>
      <c r="V288" s="1164">
        <v>19900</v>
      </c>
      <c r="W288" s="1164"/>
    </row>
    <row r="289" spans="1:23" s="1129" customFormat="1" x14ac:dyDescent="0.25">
      <c r="A289" s="1123">
        <v>4081800500</v>
      </c>
      <c r="B289" s="1125">
        <v>2</v>
      </c>
      <c r="C289" s="1125">
        <v>4</v>
      </c>
      <c r="D289" s="1127" t="s">
        <v>2211</v>
      </c>
      <c r="E289" s="1126" t="s">
        <v>2253</v>
      </c>
      <c r="F289" s="1125">
        <v>287</v>
      </c>
      <c r="G289" s="1126" t="s">
        <v>753</v>
      </c>
      <c r="H289" s="1125">
        <v>1</v>
      </c>
      <c r="I289" s="1175" t="s">
        <v>1311</v>
      </c>
      <c r="J289" s="1126">
        <v>1</v>
      </c>
      <c r="K289" s="1125">
        <v>24</v>
      </c>
      <c r="L289" s="1125">
        <v>1</v>
      </c>
      <c r="M289" s="1125">
        <v>1</v>
      </c>
      <c r="N289" s="1126" t="s">
        <v>1259</v>
      </c>
      <c r="O289" s="1125">
        <v>13</v>
      </c>
      <c r="P289" s="1164">
        <v>10400</v>
      </c>
      <c r="Q289" s="1164">
        <v>0</v>
      </c>
      <c r="R289" s="1164">
        <v>10400</v>
      </c>
      <c r="S289" s="1164">
        <v>2200</v>
      </c>
      <c r="T289" s="1164">
        <v>2200</v>
      </c>
      <c r="U289" s="1164">
        <v>2200</v>
      </c>
      <c r="V289" s="1164">
        <v>2200</v>
      </c>
      <c r="W289" s="1164"/>
    </row>
    <row r="290" spans="1:23" s="1129" customFormat="1" x14ac:dyDescent="0.25">
      <c r="A290" s="1123">
        <v>4081800500</v>
      </c>
      <c r="B290" s="1125">
        <v>2</v>
      </c>
      <c r="C290" s="1125">
        <v>4</v>
      </c>
      <c r="D290" s="1127" t="s">
        <v>2211</v>
      </c>
      <c r="E290" s="1126" t="s">
        <v>2253</v>
      </c>
      <c r="F290" s="1125">
        <v>287</v>
      </c>
      <c r="G290" s="1126" t="s">
        <v>753</v>
      </c>
      <c r="H290" s="1125">
        <v>1</v>
      </c>
      <c r="I290" s="1175" t="s">
        <v>1312</v>
      </c>
      <c r="J290" s="1126">
        <v>1</v>
      </c>
      <c r="K290" s="1125">
        <v>24</v>
      </c>
      <c r="L290" s="1125">
        <v>1</v>
      </c>
      <c r="M290" s="1125">
        <v>1</v>
      </c>
      <c r="N290" s="1126" t="s">
        <v>1259</v>
      </c>
      <c r="O290" s="1125">
        <v>13</v>
      </c>
      <c r="P290" s="1164">
        <v>3000</v>
      </c>
      <c r="Q290" s="1164">
        <v>0</v>
      </c>
      <c r="R290" s="1164">
        <v>3000</v>
      </c>
      <c r="S290" s="1164">
        <v>0</v>
      </c>
      <c r="T290" s="1164">
        <v>0</v>
      </c>
      <c r="U290" s="1164">
        <v>0</v>
      </c>
      <c r="V290" s="1164">
        <v>0</v>
      </c>
      <c r="W290" s="1164"/>
    </row>
    <row r="291" spans="1:23" s="1129" customFormat="1" x14ac:dyDescent="0.25">
      <c r="A291" s="1123">
        <v>4081800500</v>
      </c>
      <c r="B291" s="1125">
        <v>2</v>
      </c>
      <c r="C291" s="1125">
        <v>4</v>
      </c>
      <c r="D291" s="1127" t="s">
        <v>2211</v>
      </c>
      <c r="E291" s="1126" t="s">
        <v>2253</v>
      </c>
      <c r="F291" s="1125">
        <v>287</v>
      </c>
      <c r="G291" s="1126" t="s">
        <v>753</v>
      </c>
      <c r="H291" s="1125">
        <v>1</v>
      </c>
      <c r="I291" s="1175" t="s">
        <v>2213</v>
      </c>
      <c r="J291" s="1126">
        <v>1</v>
      </c>
      <c r="K291" s="1125">
        <v>24</v>
      </c>
      <c r="L291" s="1125">
        <v>1</v>
      </c>
      <c r="M291" s="1125">
        <v>1</v>
      </c>
      <c r="N291" s="1126" t="s">
        <v>1259</v>
      </c>
      <c r="O291" s="1125">
        <v>13</v>
      </c>
      <c r="P291" s="1164">
        <v>0</v>
      </c>
      <c r="Q291" s="1164">
        <v>12534.58</v>
      </c>
      <c r="R291" s="1164">
        <v>12534.58</v>
      </c>
      <c r="S291" s="1164">
        <v>16170.95</v>
      </c>
      <c r="T291" s="1164">
        <v>16170.95</v>
      </c>
      <c r="U291" s="1164">
        <v>16170.95</v>
      </c>
      <c r="V291" s="1164">
        <v>16170.95</v>
      </c>
      <c r="W291" s="1164"/>
    </row>
    <row r="292" spans="1:23" s="1129" customFormat="1" x14ac:dyDescent="0.25">
      <c r="A292" s="1123">
        <v>4081800500</v>
      </c>
      <c r="B292" s="1125">
        <v>2</v>
      </c>
      <c r="C292" s="1125">
        <v>4</v>
      </c>
      <c r="D292" s="1127" t="s">
        <v>2211</v>
      </c>
      <c r="E292" s="1126" t="s">
        <v>2253</v>
      </c>
      <c r="F292" s="1125">
        <v>287</v>
      </c>
      <c r="G292" s="1126" t="s">
        <v>753</v>
      </c>
      <c r="H292" s="1125">
        <v>1</v>
      </c>
      <c r="I292" s="1175" t="s">
        <v>1313</v>
      </c>
      <c r="J292" s="1126">
        <v>1</v>
      </c>
      <c r="K292" s="1125">
        <v>24</v>
      </c>
      <c r="L292" s="1125">
        <v>1</v>
      </c>
      <c r="M292" s="1125">
        <v>1</v>
      </c>
      <c r="N292" s="1126" t="s">
        <v>1259</v>
      </c>
      <c r="O292" s="1125">
        <v>13</v>
      </c>
      <c r="P292" s="1164">
        <v>60000</v>
      </c>
      <c r="Q292" s="1164">
        <v>-28118</v>
      </c>
      <c r="R292" s="1164">
        <v>31882</v>
      </c>
      <c r="S292" s="1164">
        <v>15041</v>
      </c>
      <c r="T292" s="1164">
        <v>15041</v>
      </c>
      <c r="U292" s="1164">
        <v>15041</v>
      </c>
      <c r="V292" s="1164">
        <v>15041</v>
      </c>
      <c r="W292" s="1164"/>
    </row>
    <row r="293" spans="1:23" s="1129" customFormat="1" x14ac:dyDescent="0.25">
      <c r="A293" s="1123">
        <v>4081800500</v>
      </c>
      <c r="B293" s="1125">
        <v>2</v>
      </c>
      <c r="C293" s="1125">
        <v>4</v>
      </c>
      <c r="D293" s="1127" t="s">
        <v>2211</v>
      </c>
      <c r="E293" s="1126" t="s">
        <v>2253</v>
      </c>
      <c r="F293" s="1125">
        <v>287</v>
      </c>
      <c r="G293" s="1126" t="s">
        <v>753</v>
      </c>
      <c r="H293" s="1125">
        <v>1</v>
      </c>
      <c r="I293" s="1175" t="s">
        <v>2197</v>
      </c>
      <c r="J293" s="1126">
        <v>1</v>
      </c>
      <c r="K293" s="1125">
        <v>24</v>
      </c>
      <c r="L293" s="1125">
        <v>1</v>
      </c>
      <c r="M293" s="1125">
        <v>1</v>
      </c>
      <c r="N293" s="1126" t="s">
        <v>1259</v>
      </c>
      <c r="O293" s="1125">
        <v>13</v>
      </c>
      <c r="P293" s="1164">
        <v>25000</v>
      </c>
      <c r="Q293" s="1164">
        <v>0</v>
      </c>
      <c r="R293" s="1164">
        <v>25000</v>
      </c>
      <c r="S293" s="1164">
        <v>632</v>
      </c>
      <c r="T293" s="1164">
        <v>632</v>
      </c>
      <c r="U293" s="1164">
        <v>632</v>
      </c>
      <c r="V293" s="1164">
        <v>632</v>
      </c>
    </row>
    <row r="294" spans="1:23" s="1129" customFormat="1" x14ac:dyDescent="0.25">
      <c r="A294" s="1123">
        <v>4081800500</v>
      </c>
      <c r="B294" s="1125">
        <v>2</v>
      </c>
      <c r="C294" s="1125">
        <v>4</v>
      </c>
      <c r="D294" s="1127" t="s">
        <v>2211</v>
      </c>
      <c r="E294" s="1126" t="s">
        <v>2253</v>
      </c>
      <c r="F294" s="1125">
        <v>287</v>
      </c>
      <c r="G294" s="1126" t="s">
        <v>753</v>
      </c>
      <c r="H294" s="1125">
        <v>1</v>
      </c>
      <c r="I294" s="1175" t="s">
        <v>2217</v>
      </c>
      <c r="J294" s="1126">
        <v>1</v>
      </c>
      <c r="K294" s="1125">
        <v>24</v>
      </c>
      <c r="L294" s="1125">
        <v>1</v>
      </c>
      <c r="M294" s="1125">
        <v>1</v>
      </c>
      <c r="N294" s="1126" t="s">
        <v>1259</v>
      </c>
      <c r="O294" s="1125">
        <v>13</v>
      </c>
      <c r="P294" s="1164">
        <v>120000</v>
      </c>
      <c r="Q294" s="1164">
        <v>-75105.2</v>
      </c>
      <c r="R294" s="1164">
        <v>44894.8</v>
      </c>
      <c r="S294" s="1164">
        <v>59489.8</v>
      </c>
      <c r="T294" s="1164">
        <v>59489.8</v>
      </c>
      <c r="U294" s="1164">
        <v>59489.8</v>
      </c>
      <c r="V294" s="1164">
        <v>59489.8</v>
      </c>
    </row>
    <row r="295" spans="1:23" s="1129" customFormat="1" x14ac:dyDescent="0.25">
      <c r="A295" s="1123">
        <v>4081800100</v>
      </c>
      <c r="B295" s="1123">
        <v>2</v>
      </c>
      <c r="C295" s="1123">
        <v>4</v>
      </c>
      <c r="D295" s="1124" t="s">
        <v>2211</v>
      </c>
      <c r="E295" s="1126" t="s">
        <v>2253</v>
      </c>
      <c r="F295" s="1127" t="s">
        <v>2240</v>
      </c>
      <c r="G295" s="1126" t="s">
        <v>753</v>
      </c>
      <c r="H295" s="1125">
        <v>1</v>
      </c>
      <c r="I295" s="1175" t="s">
        <v>1284</v>
      </c>
      <c r="J295" s="1126">
        <v>1</v>
      </c>
      <c r="K295" s="1125">
        <v>24</v>
      </c>
      <c r="L295" s="1125">
        <v>1</v>
      </c>
      <c r="M295" s="1125">
        <v>4</v>
      </c>
      <c r="N295" s="1126" t="s">
        <v>1257</v>
      </c>
      <c r="O295" s="1125">
        <v>13</v>
      </c>
      <c r="P295" s="1164">
        <v>5000</v>
      </c>
      <c r="Q295" s="1164">
        <v>-5000</v>
      </c>
      <c r="R295" s="1164">
        <v>0</v>
      </c>
      <c r="S295" s="1164">
        <v>0</v>
      </c>
      <c r="T295" s="1164">
        <v>0</v>
      </c>
      <c r="U295" s="1164">
        <v>0</v>
      </c>
      <c r="V295" s="1164">
        <v>0</v>
      </c>
    </row>
    <row r="296" spans="1:23" s="1129" customFormat="1" x14ac:dyDescent="0.25">
      <c r="A296" s="1123">
        <v>4081800100</v>
      </c>
      <c r="B296" s="1123">
        <v>2</v>
      </c>
      <c r="C296" s="1123">
        <v>4</v>
      </c>
      <c r="D296" s="1124" t="s">
        <v>2211</v>
      </c>
      <c r="E296" s="1126" t="s">
        <v>2253</v>
      </c>
      <c r="F296" s="1127" t="s">
        <v>2240</v>
      </c>
      <c r="G296" s="1126" t="s">
        <v>753</v>
      </c>
      <c r="H296" s="1125">
        <v>1</v>
      </c>
      <c r="I296" s="1175" t="s">
        <v>1290</v>
      </c>
      <c r="J296" s="1126">
        <v>1</v>
      </c>
      <c r="K296" s="1125">
        <v>24</v>
      </c>
      <c r="L296" s="1125">
        <v>1</v>
      </c>
      <c r="M296" s="1125">
        <v>4</v>
      </c>
      <c r="N296" s="1126" t="s">
        <v>1257</v>
      </c>
      <c r="O296" s="1125">
        <v>13</v>
      </c>
      <c r="P296" s="1164">
        <v>0</v>
      </c>
      <c r="Q296" s="1164">
        <v>4640</v>
      </c>
      <c r="R296" s="1164">
        <v>4640</v>
      </c>
      <c r="S296" s="1164">
        <v>4640</v>
      </c>
      <c r="T296" s="1164">
        <v>4640</v>
      </c>
      <c r="U296" s="1164">
        <v>4640</v>
      </c>
      <c r="V296" s="1164">
        <v>4640</v>
      </c>
    </row>
    <row r="297" spans="1:23" s="1129" customFormat="1" x14ac:dyDescent="0.25">
      <c r="A297" s="1123">
        <v>4081800100</v>
      </c>
      <c r="B297" s="1123">
        <v>2</v>
      </c>
      <c r="C297" s="1123">
        <v>4</v>
      </c>
      <c r="D297" s="1124" t="s">
        <v>2211</v>
      </c>
      <c r="E297" s="1126" t="s">
        <v>2253</v>
      </c>
      <c r="F297" s="1127" t="s">
        <v>2240</v>
      </c>
      <c r="G297" s="1126" t="s">
        <v>753</v>
      </c>
      <c r="H297" s="1125">
        <v>1</v>
      </c>
      <c r="I297" s="1175" t="s">
        <v>1298</v>
      </c>
      <c r="J297" s="1126">
        <v>1</v>
      </c>
      <c r="K297" s="1125">
        <v>24</v>
      </c>
      <c r="L297" s="1125">
        <v>1</v>
      </c>
      <c r="M297" s="1125">
        <v>4</v>
      </c>
      <c r="N297" s="1126" t="s">
        <v>1257</v>
      </c>
      <c r="O297" s="1125">
        <v>13</v>
      </c>
      <c r="P297" s="1164">
        <v>0</v>
      </c>
      <c r="Q297" s="1164">
        <v>1217.29</v>
      </c>
      <c r="R297" s="1164">
        <v>1217.29</v>
      </c>
      <c r="S297" s="1164">
        <v>1217.29</v>
      </c>
      <c r="T297" s="1164">
        <v>1217.29</v>
      </c>
      <c r="U297" s="1164">
        <v>1217.29</v>
      </c>
      <c r="V297" s="1164">
        <v>1217.29</v>
      </c>
    </row>
    <row r="298" spans="1:23" s="1129" customFormat="1" x14ac:dyDescent="0.25">
      <c r="A298" s="1123">
        <v>4081800100</v>
      </c>
      <c r="B298" s="1123">
        <v>2</v>
      </c>
      <c r="C298" s="1123">
        <v>4</v>
      </c>
      <c r="D298" s="1124" t="s">
        <v>2211</v>
      </c>
      <c r="E298" s="1126" t="s">
        <v>2253</v>
      </c>
      <c r="F298" s="1127" t="s">
        <v>2240</v>
      </c>
      <c r="G298" s="1126" t="s">
        <v>753</v>
      </c>
      <c r="H298" s="1125">
        <v>1</v>
      </c>
      <c r="I298" s="1175" t="s">
        <v>1310</v>
      </c>
      <c r="J298" s="1126">
        <v>1</v>
      </c>
      <c r="K298" s="1125">
        <v>24</v>
      </c>
      <c r="L298" s="1125">
        <v>1</v>
      </c>
      <c r="M298" s="1125">
        <v>4</v>
      </c>
      <c r="N298" s="1126" t="s">
        <v>1257</v>
      </c>
      <c r="O298" s="1125">
        <v>13</v>
      </c>
      <c r="P298" s="1164">
        <v>0</v>
      </c>
      <c r="Q298" s="1164">
        <v>10900</v>
      </c>
      <c r="R298" s="1164">
        <v>10900</v>
      </c>
      <c r="S298" s="1164">
        <v>10900</v>
      </c>
      <c r="T298" s="1164">
        <v>10900</v>
      </c>
      <c r="U298" s="1164">
        <v>10900</v>
      </c>
      <c r="V298" s="1164">
        <v>10900</v>
      </c>
    </row>
    <row r="299" spans="1:23" s="1129" customFormat="1" x14ac:dyDescent="0.25">
      <c r="A299" s="1123">
        <v>4081800100</v>
      </c>
      <c r="B299" s="1123">
        <v>2</v>
      </c>
      <c r="C299" s="1123">
        <v>4</v>
      </c>
      <c r="D299" s="1124" t="s">
        <v>2211</v>
      </c>
      <c r="E299" s="1126" t="s">
        <v>2253</v>
      </c>
      <c r="F299" s="1127" t="s">
        <v>2240</v>
      </c>
      <c r="G299" s="1126" t="s">
        <v>753</v>
      </c>
      <c r="H299" s="1125">
        <v>1</v>
      </c>
      <c r="I299" s="1175" t="s">
        <v>1311</v>
      </c>
      <c r="J299" s="1126">
        <v>1</v>
      </c>
      <c r="K299" s="1125">
        <v>24</v>
      </c>
      <c r="L299" s="1125">
        <v>1</v>
      </c>
      <c r="M299" s="1125">
        <v>4</v>
      </c>
      <c r="N299" s="1126" t="s">
        <v>1257</v>
      </c>
      <c r="O299" s="1125">
        <v>13</v>
      </c>
      <c r="P299" s="1164">
        <v>0</v>
      </c>
      <c r="Q299" s="1164">
        <v>4800</v>
      </c>
      <c r="R299" s="1164">
        <v>4800</v>
      </c>
      <c r="S299" s="1164">
        <v>4800</v>
      </c>
      <c r="T299" s="1164">
        <v>4800</v>
      </c>
      <c r="U299" s="1164">
        <v>4800</v>
      </c>
      <c r="V299" s="1164">
        <v>4800</v>
      </c>
    </row>
    <row r="300" spans="1:23" s="1129" customFormat="1" x14ac:dyDescent="0.25">
      <c r="A300" s="1123">
        <v>4081800200</v>
      </c>
      <c r="B300" s="1123">
        <v>2</v>
      </c>
      <c r="C300" s="1123">
        <v>4</v>
      </c>
      <c r="D300" s="1124" t="s">
        <v>2211</v>
      </c>
      <c r="E300" s="1126" t="s">
        <v>2253</v>
      </c>
      <c r="F300" s="1127" t="s">
        <v>2252</v>
      </c>
      <c r="G300" s="1126" t="s">
        <v>753</v>
      </c>
      <c r="H300" s="1125">
        <v>1</v>
      </c>
      <c r="I300" s="1175" t="s">
        <v>1284</v>
      </c>
      <c r="J300" s="1126">
        <v>1</v>
      </c>
      <c r="K300" s="1125">
        <v>24</v>
      </c>
      <c r="L300" s="1125">
        <v>1</v>
      </c>
      <c r="M300" s="1125">
        <v>4</v>
      </c>
      <c r="N300" s="1126" t="s">
        <v>1257</v>
      </c>
      <c r="O300" s="1125">
        <v>13</v>
      </c>
      <c r="P300" s="1164">
        <v>5000</v>
      </c>
      <c r="Q300" s="1164">
        <v>5400</v>
      </c>
      <c r="R300" s="1164">
        <v>10400</v>
      </c>
      <c r="S300" s="1164">
        <v>10400</v>
      </c>
      <c r="T300" s="1164">
        <v>10400</v>
      </c>
      <c r="U300" s="1164">
        <v>10400</v>
      </c>
      <c r="V300" s="1164">
        <v>10400</v>
      </c>
    </row>
    <row r="301" spans="1:23" s="1129" customFormat="1" x14ac:dyDescent="0.25">
      <c r="A301" s="1123">
        <v>4081800200</v>
      </c>
      <c r="B301" s="1123">
        <v>2</v>
      </c>
      <c r="C301" s="1123">
        <v>4</v>
      </c>
      <c r="D301" s="1124" t="s">
        <v>2211</v>
      </c>
      <c r="E301" s="1126" t="s">
        <v>2253</v>
      </c>
      <c r="F301" s="1127" t="s">
        <v>2252</v>
      </c>
      <c r="G301" s="1126" t="s">
        <v>753</v>
      </c>
      <c r="H301" s="1125">
        <v>1</v>
      </c>
      <c r="I301" s="1175" t="s">
        <v>1285</v>
      </c>
      <c r="J301" s="1126">
        <v>1</v>
      </c>
      <c r="K301" s="1125">
        <v>24</v>
      </c>
      <c r="L301" s="1125">
        <v>1</v>
      </c>
      <c r="M301" s="1125">
        <v>4</v>
      </c>
      <c r="N301" s="1126" t="s">
        <v>1257</v>
      </c>
      <c r="O301" s="1125">
        <v>13</v>
      </c>
      <c r="P301" s="1164">
        <v>0</v>
      </c>
      <c r="Q301" s="1164">
        <v>41807.089999999997</v>
      </c>
      <c r="R301" s="1164">
        <v>41807.089999999997</v>
      </c>
      <c r="S301" s="1164">
        <v>41807.089999999997</v>
      </c>
      <c r="T301" s="1164">
        <v>41807.089999999997</v>
      </c>
      <c r="U301" s="1164">
        <v>41807.089999999997</v>
      </c>
      <c r="V301" s="1164">
        <v>41807.089999999997</v>
      </c>
    </row>
    <row r="302" spans="1:23" s="1129" customFormat="1" x14ac:dyDescent="0.25">
      <c r="A302" s="1123">
        <v>4081800200</v>
      </c>
      <c r="B302" s="1123">
        <v>2</v>
      </c>
      <c r="C302" s="1123">
        <v>4</v>
      </c>
      <c r="D302" s="1124" t="s">
        <v>2211</v>
      </c>
      <c r="E302" s="1126" t="s">
        <v>2253</v>
      </c>
      <c r="F302" s="1127" t="s">
        <v>2252</v>
      </c>
      <c r="G302" s="1126" t="s">
        <v>753</v>
      </c>
      <c r="H302" s="1125">
        <v>1</v>
      </c>
      <c r="I302" s="1175" t="s">
        <v>1296</v>
      </c>
      <c r="J302" s="1126">
        <v>1</v>
      </c>
      <c r="K302" s="1125">
        <v>24</v>
      </c>
      <c r="L302" s="1125">
        <v>1</v>
      </c>
      <c r="M302" s="1125">
        <v>4</v>
      </c>
      <c r="N302" s="1126" t="s">
        <v>1257</v>
      </c>
      <c r="O302" s="1125">
        <v>13</v>
      </c>
      <c r="P302" s="1164">
        <v>0</v>
      </c>
      <c r="Q302" s="1164">
        <v>57003.21</v>
      </c>
      <c r="R302" s="1164">
        <v>57003.21</v>
      </c>
      <c r="S302" s="1164">
        <v>57003.21</v>
      </c>
      <c r="T302" s="1164">
        <v>57003.21</v>
      </c>
      <c r="U302" s="1164">
        <v>57003.21</v>
      </c>
      <c r="V302" s="1164">
        <v>57003.21</v>
      </c>
    </row>
    <row r="303" spans="1:23" s="1129" customFormat="1" x14ac:dyDescent="0.25">
      <c r="A303" s="1123">
        <v>4081800200</v>
      </c>
      <c r="B303" s="1123">
        <v>2</v>
      </c>
      <c r="C303" s="1123">
        <v>4</v>
      </c>
      <c r="D303" s="1124" t="s">
        <v>2211</v>
      </c>
      <c r="E303" s="1126" t="s">
        <v>2253</v>
      </c>
      <c r="F303" s="1127" t="s">
        <v>2252</v>
      </c>
      <c r="G303" s="1126" t="s">
        <v>753</v>
      </c>
      <c r="H303" s="1125">
        <v>1</v>
      </c>
      <c r="I303" s="1175" t="s">
        <v>1297</v>
      </c>
      <c r="J303" s="1126">
        <v>1</v>
      </c>
      <c r="K303" s="1125">
        <v>24</v>
      </c>
      <c r="L303" s="1125">
        <v>1</v>
      </c>
      <c r="M303" s="1125">
        <v>4</v>
      </c>
      <c r="N303" s="1126" t="s">
        <v>1257</v>
      </c>
      <c r="O303" s="1125">
        <v>13</v>
      </c>
      <c r="P303" s="1164">
        <v>18000</v>
      </c>
      <c r="Q303" s="1164">
        <v>10021</v>
      </c>
      <c r="R303" s="1164">
        <v>28021</v>
      </c>
      <c r="S303" s="1164">
        <v>28021</v>
      </c>
      <c r="T303" s="1164">
        <v>28021</v>
      </c>
      <c r="U303" s="1164">
        <v>28021</v>
      </c>
      <c r="V303" s="1164">
        <v>28021</v>
      </c>
    </row>
    <row r="304" spans="1:23" s="1129" customFormat="1" x14ac:dyDescent="0.25">
      <c r="A304" s="1123">
        <v>4081800200</v>
      </c>
      <c r="B304" s="1123">
        <v>2</v>
      </c>
      <c r="C304" s="1123">
        <v>4</v>
      </c>
      <c r="D304" s="1124" t="s">
        <v>2211</v>
      </c>
      <c r="E304" s="1126" t="s">
        <v>2253</v>
      </c>
      <c r="F304" s="1127" t="s">
        <v>2252</v>
      </c>
      <c r="G304" s="1126" t="s">
        <v>753</v>
      </c>
      <c r="H304" s="1125">
        <v>1</v>
      </c>
      <c r="I304" s="1175" t="s">
        <v>2263</v>
      </c>
      <c r="J304" s="1126">
        <v>1</v>
      </c>
      <c r="K304" s="1125">
        <v>24</v>
      </c>
      <c r="L304" s="1125">
        <v>1</v>
      </c>
      <c r="M304" s="1125">
        <v>4</v>
      </c>
      <c r="N304" s="1126" t="s">
        <v>1257</v>
      </c>
      <c r="O304" s="1125">
        <v>13</v>
      </c>
      <c r="P304" s="1164">
        <v>0</v>
      </c>
      <c r="Q304" s="1164">
        <v>6000</v>
      </c>
      <c r="R304" s="1164">
        <v>6000</v>
      </c>
      <c r="S304" s="1164">
        <v>6000</v>
      </c>
      <c r="T304" s="1164">
        <v>6000</v>
      </c>
      <c r="U304" s="1164">
        <v>6000</v>
      </c>
      <c r="V304" s="1164">
        <v>6000</v>
      </c>
    </row>
    <row r="305" spans="1:22" s="1129" customFormat="1" x14ac:dyDescent="0.25">
      <c r="A305" s="1123">
        <v>4081800200</v>
      </c>
      <c r="B305" s="1123">
        <v>2</v>
      </c>
      <c r="C305" s="1123">
        <v>4</v>
      </c>
      <c r="D305" s="1124" t="s">
        <v>2211</v>
      </c>
      <c r="E305" s="1126" t="s">
        <v>2253</v>
      </c>
      <c r="F305" s="1127" t="s">
        <v>2252</v>
      </c>
      <c r="G305" s="1126" t="s">
        <v>753</v>
      </c>
      <c r="H305" s="1125">
        <v>1</v>
      </c>
      <c r="I305" s="1175" t="s">
        <v>2265</v>
      </c>
      <c r="J305" s="1126">
        <v>1</v>
      </c>
      <c r="K305" s="1125">
        <v>24</v>
      </c>
      <c r="L305" s="1125">
        <v>1</v>
      </c>
      <c r="M305" s="1125">
        <v>4</v>
      </c>
      <c r="N305" s="1126" t="s">
        <v>1257</v>
      </c>
      <c r="O305" s="1125">
        <v>13</v>
      </c>
      <c r="P305" s="1164">
        <v>0</v>
      </c>
      <c r="Q305" s="1164">
        <v>6960</v>
      </c>
      <c r="R305" s="1164">
        <v>6960</v>
      </c>
      <c r="S305" s="1164">
        <v>6960</v>
      </c>
      <c r="T305" s="1164">
        <v>6960</v>
      </c>
      <c r="U305" s="1164">
        <v>6960</v>
      </c>
      <c r="V305" s="1164">
        <v>6960</v>
      </c>
    </row>
    <row r="306" spans="1:22" s="1129" customFormat="1" x14ac:dyDescent="0.25">
      <c r="A306" s="1123">
        <v>4081800200</v>
      </c>
      <c r="B306" s="1123">
        <v>2</v>
      </c>
      <c r="C306" s="1123">
        <v>4</v>
      </c>
      <c r="D306" s="1124" t="s">
        <v>2211</v>
      </c>
      <c r="E306" s="1126" t="s">
        <v>2253</v>
      </c>
      <c r="F306" s="1127" t="s">
        <v>2252</v>
      </c>
      <c r="G306" s="1126" t="s">
        <v>753</v>
      </c>
      <c r="H306" s="1125">
        <v>1</v>
      </c>
      <c r="I306" s="1175" t="s">
        <v>1302</v>
      </c>
      <c r="J306" s="1126">
        <v>1</v>
      </c>
      <c r="K306" s="1125">
        <v>24</v>
      </c>
      <c r="L306" s="1125">
        <v>1</v>
      </c>
      <c r="M306" s="1125">
        <v>4</v>
      </c>
      <c r="N306" s="1126" t="s">
        <v>1257</v>
      </c>
      <c r="O306" s="1125">
        <v>13</v>
      </c>
      <c r="P306" s="1164">
        <v>120000</v>
      </c>
      <c r="Q306" s="1164">
        <v>52445.21</v>
      </c>
      <c r="R306" s="1164">
        <v>172445.21</v>
      </c>
      <c r="S306" s="1164">
        <v>172445.21</v>
      </c>
      <c r="T306" s="1164">
        <v>172445.21</v>
      </c>
      <c r="U306" s="1164">
        <v>172445.21</v>
      </c>
      <c r="V306" s="1164">
        <v>172445.21</v>
      </c>
    </row>
    <row r="307" spans="1:22" s="1129" customFormat="1" x14ac:dyDescent="0.25">
      <c r="A307" s="1123">
        <v>4081800200</v>
      </c>
      <c r="B307" s="1123">
        <v>2</v>
      </c>
      <c r="C307" s="1123">
        <v>4</v>
      </c>
      <c r="D307" s="1124" t="s">
        <v>2211</v>
      </c>
      <c r="E307" s="1126" t="s">
        <v>2253</v>
      </c>
      <c r="F307" s="1127" t="s">
        <v>2252</v>
      </c>
      <c r="G307" s="1126" t="s">
        <v>753</v>
      </c>
      <c r="H307" s="1125">
        <v>1</v>
      </c>
      <c r="I307" s="1175" t="s">
        <v>1310</v>
      </c>
      <c r="J307" s="1126">
        <v>1</v>
      </c>
      <c r="K307" s="1125">
        <v>24</v>
      </c>
      <c r="L307" s="1125">
        <v>1</v>
      </c>
      <c r="M307" s="1125">
        <v>4</v>
      </c>
      <c r="N307" s="1126" t="s">
        <v>1257</v>
      </c>
      <c r="O307" s="1125">
        <v>13</v>
      </c>
      <c r="P307" s="1164">
        <v>0</v>
      </c>
      <c r="Q307" s="1164">
        <v>26250</v>
      </c>
      <c r="R307" s="1164">
        <v>26250</v>
      </c>
      <c r="S307" s="1164">
        <v>26250</v>
      </c>
      <c r="T307" s="1164">
        <v>26250</v>
      </c>
      <c r="U307" s="1164">
        <v>26250</v>
      </c>
      <c r="V307" s="1164">
        <v>26250</v>
      </c>
    </row>
    <row r="308" spans="1:22" s="1129" customFormat="1" x14ac:dyDescent="0.25">
      <c r="A308" s="1123">
        <v>4081800200</v>
      </c>
      <c r="B308" s="1123">
        <v>2</v>
      </c>
      <c r="C308" s="1123">
        <v>4</v>
      </c>
      <c r="D308" s="1124" t="s">
        <v>2211</v>
      </c>
      <c r="E308" s="1126" t="s">
        <v>2253</v>
      </c>
      <c r="F308" s="1127" t="s">
        <v>2252</v>
      </c>
      <c r="G308" s="1126" t="s">
        <v>753</v>
      </c>
      <c r="H308" s="1125">
        <v>1</v>
      </c>
      <c r="I308" s="1175" t="s">
        <v>1311</v>
      </c>
      <c r="J308" s="1126">
        <v>1</v>
      </c>
      <c r="K308" s="1125">
        <v>24</v>
      </c>
      <c r="L308" s="1125">
        <v>1</v>
      </c>
      <c r="M308" s="1125">
        <v>4</v>
      </c>
      <c r="N308" s="1126" t="s">
        <v>1257</v>
      </c>
      <c r="O308" s="1125">
        <v>13</v>
      </c>
      <c r="P308" s="1164">
        <v>0</v>
      </c>
      <c r="Q308" s="1164">
        <v>7500</v>
      </c>
      <c r="R308" s="1164">
        <v>7500</v>
      </c>
      <c r="S308" s="1164">
        <v>7500</v>
      </c>
      <c r="T308" s="1164">
        <v>7500</v>
      </c>
      <c r="U308" s="1164">
        <v>7500</v>
      </c>
      <c r="V308" s="1164">
        <v>7500</v>
      </c>
    </row>
    <row r="309" spans="1:22" s="1129" customFormat="1" x14ac:dyDescent="0.25">
      <c r="A309" s="1123">
        <v>4081800200</v>
      </c>
      <c r="B309" s="1123">
        <v>2</v>
      </c>
      <c r="C309" s="1123">
        <v>4</v>
      </c>
      <c r="D309" s="1124" t="s">
        <v>2211</v>
      </c>
      <c r="E309" s="1126" t="s">
        <v>2253</v>
      </c>
      <c r="F309" s="1127" t="s">
        <v>2252</v>
      </c>
      <c r="G309" s="1126" t="s">
        <v>753</v>
      </c>
      <c r="H309" s="1125">
        <v>1</v>
      </c>
      <c r="I309" s="1175" t="s">
        <v>2248</v>
      </c>
      <c r="J309" s="1126">
        <v>1</v>
      </c>
      <c r="K309" s="1125">
        <v>24</v>
      </c>
      <c r="L309" s="1125">
        <v>1</v>
      </c>
      <c r="M309" s="1125">
        <v>4</v>
      </c>
      <c r="N309" s="1126" t="s">
        <v>1257</v>
      </c>
      <c r="O309" s="1125">
        <v>13</v>
      </c>
      <c r="P309" s="1164">
        <v>0</v>
      </c>
      <c r="Q309" s="1164">
        <v>16786.169999999998</v>
      </c>
      <c r="R309" s="1164">
        <v>16786.169999999998</v>
      </c>
      <c r="S309" s="1164">
        <v>16786.169999999998</v>
      </c>
      <c r="T309" s="1164">
        <v>16786.169999999998</v>
      </c>
      <c r="U309" s="1164">
        <v>16786.169999999998</v>
      </c>
      <c r="V309" s="1164">
        <v>16786.169999999998</v>
      </c>
    </row>
    <row r="310" spans="1:22" s="1129" customFormat="1" x14ac:dyDescent="0.25">
      <c r="A310" s="1123">
        <v>4081800200</v>
      </c>
      <c r="B310" s="1123">
        <v>2</v>
      </c>
      <c r="C310" s="1123">
        <v>4</v>
      </c>
      <c r="D310" s="1124" t="s">
        <v>2211</v>
      </c>
      <c r="E310" s="1126" t="s">
        <v>2253</v>
      </c>
      <c r="F310" s="1127" t="s">
        <v>2252</v>
      </c>
      <c r="G310" s="1126" t="s">
        <v>753</v>
      </c>
      <c r="H310" s="1125">
        <v>1</v>
      </c>
      <c r="I310" s="1175" t="s">
        <v>1312</v>
      </c>
      <c r="J310" s="1126">
        <v>1</v>
      </c>
      <c r="K310" s="1125">
        <v>24</v>
      </c>
      <c r="L310" s="1125">
        <v>1</v>
      </c>
      <c r="M310" s="1125">
        <v>4</v>
      </c>
      <c r="N310" s="1126" t="s">
        <v>1257</v>
      </c>
      <c r="O310" s="1125">
        <v>13</v>
      </c>
      <c r="P310" s="1164">
        <v>0</v>
      </c>
      <c r="Q310" s="1164">
        <v>1600</v>
      </c>
      <c r="R310" s="1164">
        <v>1600</v>
      </c>
      <c r="S310" s="1164">
        <v>1600</v>
      </c>
      <c r="T310" s="1164">
        <v>1600</v>
      </c>
      <c r="U310" s="1164">
        <v>1600</v>
      </c>
      <c r="V310" s="1164">
        <v>1600</v>
      </c>
    </row>
    <row r="311" spans="1:22" s="1129" customFormat="1" x14ac:dyDescent="0.25">
      <c r="A311" s="1123">
        <v>4081800200</v>
      </c>
      <c r="B311" s="1123">
        <v>2</v>
      </c>
      <c r="C311" s="1123">
        <v>4</v>
      </c>
      <c r="D311" s="1124" t="s">
        <v>2211</v>
      </c>
      <c r="E311" s="1126" t="s">
        <v>2253</v>
      </c>
      <c r="F311" s="1127" t="s">
        <v>2252</v>
      </c>
      <c r="G311" s="1126" t="s">
        <v>753</v>
      </c>
      <c r="H311" s="1125">
        <v>1</v>
      </c>
      <c r="I311" s="1175" t="s">
        <v>2213</v>
      </c>
      <c r="J311" s="1126">
        <v>1</v>
      </c>
      <c r="K311" s="1125">
        <v>24</v>
      </c>
      <c r="L311" s="1125">
        <v>1</v>
      </c>
      <c r="M311" s="1125">
        <v>4</v>
      </c>
      <c r="N311" s="1126" t="s">
        <v>1257</v>
      </c>
      <c r="O311" s="1125">
        <v>13</v>
      </c>
      <c r="P311" s="1164">
        <v>0</v>
      </c>
      <c r="Q311" s="1164">
        <v>96123.14</v>
      </c>
      <c r="R311" s="1164">
        <v>96123.14</v>
      </c>
      <c r="S311" s="1164">
        <v>96123.14</v>
      </c>
      <c r="T311" s="1164">
        <v>96123.14</v>
      </c>
      <c r="U311" s="1164">
        <v>96123.14</v>
      </c>
      <c r="V311" s="1164">
        <v>96123.14</v>
      </c>
    </row>
    <row r="312" spans="1:22" s="1129" customFormat="1" x14ac:dyDescent="0.25">
      <c r="A312" s="1123">
        <v>4081800300</v>
      </c>
      <c r="B312" s="1123">
        <v>2</v>
      </c>
      <c r="C312" s="1123">
        <v>4</v>
      </c>
      <c r="D312" s="1124" t="s">
        <v>2211</v>
      </c>
      <c r="E312" s="1126" t="s">
        <v>2253</v>
      </c>
      <c r="F312" s="1127" t="s">
        <v>2252</v>
      </c>
      <c r="G312" s="1126" t="s">
        <v>753</v>
      </c>
      <c r="H312" s="1125">
        <v>1</v>
      </c>
      <c r="I312" s="1175" t="s">
        <v>1284</v>
      </c>
      <c r="J312" s="1126">
        <v>1</v>
      </c>
      <c r="K312" s="1125">
        <v>24</v>
      </c>
      <c r="L312" s="1125">
        <v>1</v>
      </c>
      <c r="M312" s="1125">
        <v>4</v>
      </c>
      <c r="N312" s="1126" t="s">
        <v>1257</v>
      </c>
      <c r="O312" s="1125">
        <v>13</v>
      </c>
      <c r="P312" s="1164">
        <v>5000</v>
      </c>
      <c r="Q312" s="1164">
        <v>-5000</v>
      </c>
      <c r="R312" s="1164">
        <v>0</v>
      </c>
      <c r="S312" s="1164">
        <v>0</v>
      </c>
      <c r="T312" s="1164">
        <v>0</v>
      </c>
      <c r="U312" s="1164">
        <v>0</v>
      </c>
      <c r="V312" s="1164">
        <v>0</v>
      </c>
    </row>
    <row r="313" spans="1:22" s="1129" customFormat="1" x14ac:dyDescent="0.25">
      <c r="A313" s="1123">
        <v>4081800300</v>
      </c>
      <c r="B313" s="1123">
        <v>2</v>
      </c>
      <c r="C313" s="1123">
        <v>4</v>
      </c>
      <c r="D313" s="1124" t="s">
        <v>2211</v>
      </c>
      <c r="E313" s="1126" t="s">
        <v>2253</v>
      </c>
      <c r="F313" s="1127" t="s">
        <v>2252</v>
      </c>
      <c r="G313" s="1126" t="s">
        <v>753</v>
      </c>
      <c r="H313" s="1125">
        <v>1</v>
      </c>
      <c r="I313" s="1175" t="s">
        <v>1311</v>
      </c>
      <c r="J313" s="1126">
        <v>1</v>
      </c>
      <c r="K313" s="1125">
        <v>24</v>
      </c>
      <c r="L313" s="1125">
        <v>1</v>
      </c>
      <c r="M313" s="1125">
        <v>4</v>
      </c>
      <c r="N313" s="1126" t="s">
        <v>1257</v>
      </c>
      <c r="O313" s="1125">
        <v>13</v>
      </c>
      <c r="P313" s="1164">
        <v>0</v>
      </c>
      <c r="Q313" s="1164">
        <v>3000</v>
      </c>
      <c r="R313" s="1164">
        <v>3000</v>
      </c>
      <c r="S313" s="1164">
        <v>3000</v>
      </c>
      <c r="T313" s="1164">
        <v>3000</v>
      </c>
      <c r="U313" s="1164">
        <v>3000</v>
      </c>
      <c r="V313" s="1164">
        <v>3000</v>
      </c>
    </row>
    <row r="314" spans="1:22" s="1129" customFormat="1" x14ac:dyDescent="0.25">
      <c r="A314" s="1123">
        <v>4081800300</v>
      </c>
      <c r="B314" s="1123">
        <v>2</v>
      </c>
      <c r="C314" s="1123">
        <v>4</v>
      </c>
      <c r="D314" s="1124" t="s">
        <v>2211</v>
      </c>
      <c r="E314" s="1126" t="s">
        <v>2253</v>
      </c>
      <c r="F314" s="1127" t="s">
        <v>2252</v>
      </c>
      <c r="G314" s="1126" t="s">
        <v>753</v>
      </c>
      <c r="H314" s="1125">
        <v>1</v>
      </c>
      <c r="I314" s="1175" t="s">
        <v>2213</v>
      </c>
      <c r="J314" s="1126">
        <v>1</v>
      </c>
      <c r="K314" s="1125">
        <v>24</v>
      </c>
      <c r="L314" s="1125">
        <v>1</v>
      </c>
      <c r="M314" s="1125">
        <v>4</v>
      </c>
      <c r="N314" s="1126" t="s">
        <v>1257</v>
      </c>
      <c r="O314" s="1125">
        <v>13</v>
      </c>
      <c r="P314" s="1164">
        <v>0</v>
      </c>
      <c r="Q314" s="1164">
        <v>6403.2</v>
      </c>
      <c r="R314" s="1164">
        <v>6403.2</v>
      </c>
      <c r="S314" s="1164">
        <v>6403.2</v>
      </c>
      <c r="T314" s="1164">
        <v>6403.2</v>
      </c>
      <c r="U314" s="1164">
        <v>6403.2</v>
      </c>
      <c r="V314" s="1164">
        <v>6403.2</v>
      </c>
    </row>
    <row r="315" spans="1:22" s="1129" customFormat="1" x14ac:dyDescent="0.25">
      <c r="A315" s="1123">
        <v>4081800400</v>
      </c>
      <c r="B315" s="1123">
        <v>2</v>
      </c>
      <c r="C315" s="1123">
        <v>4</v>
      </c>
      <c r="D315" s="1124" t="s">
        <v>2211</v>
      </c>
      <c r="E315" s="1126" t="s">
        <v>2253</v>
      </c>
      <c r="F315" s="1125">
        <v>287</v>
      </c>
      <c r="G315" s="1126" t="s">
        <v>753</v>
      </c>
      <c r="H315" s="1125">
        <v>1</v>
      </c>
      <c r="I315" s="1175" t="s">
        <v>1284</v>
      </c>
      <c r="J315" s="1126">
        <v>1</v>
      </c>
      <c r="K315" s="1125">
        <v>24</v>
      </c>
      <c r="L315" s="1125">
        <v>1</v>
      </c>
      <c r="M315" s="1125">
        <v>4</v>
      </c>
      <c r="N315" s="1126" t="s">
        <v>1257</v>
      </c>
      <c r="O315" s="1125">
        <v>13</v>
      </c>
      <c r="P315" s="1164">
        <v>5000</v>
      </c>
      <c r="Q315" s="1164">
        <v>-5000</v>
      </c>
      <c r="R315" s="1164">
        <v>0</v>
      </c>
      <c r="S315" s="1164">
        <v>0</v>
      </c>
      <c r="T315" s="1164">
        <v>0</v>
      </c>
      <c r="U315" s="1164">
        <v>0</v>
      </c>
      <c r="V315" s="1164">
        <v>0</v>
      </c>
    </row>
    <row r="316" spans="1:22" s="1129" customFormat="1" x14ac:dyDescent="0.25">
      <c r="A316" s="1123">
        <v>4081800400</v>
      </c>
      <c r="B316" s="1123">
        <v>2</v>
      </c>
      <c r="C316" s="1123">
        <v>4</v>
      </c>
      <c r="D316" s="1124" t="s">
        <v>2211</v>
      </c>
      <c r="E316" s="1126" t="s">
        <v>2253</v>
      </c>
      <c r="F316" s="1125">
        <v>287</v>
      </c>
      <c r="G316" s="1126" t="s">
        <v>753</v>
      </c>
      <c r="H316" s="1125">
        <v>1</v>
      </c>
      <c r="I316" s="1175" t="s">
        <v>1290</v>
      </c>
      <c r="J316" s="1126">
        <v>1</v>
      </c>
      <c r="K316" s="1125">
        <v>24</v>
      </c>
      <c r="L316" s="1125">
        <v>1</v>
      </c>
      <c r="M316" s="1125">
        <v>4</v>
      </c>
      <c r="N316" s="1126" t="s">
        <v>1257</v>
      </c>
      <c r="O316" s="1125">
        <v>13</v>
      </c>
      <c r="P316" s="1164">
        <v>15000</v>
      </c>
      <c r="Q316" s="1164">
        <v>202202.64</v>
      </c>
      <c r="R316" s="1164">
        <v>217202.64</v>
      </c>
      <c r="S316" s="1164">
        <v>217202.64</v>
      </c>
      <c r="T316" s="1164">
        <v>217202.64</v>
      </c>
      <c r="U316" s="1164">
        <v>217202.64</v>
      </c>
      <c r="V316" s="1164">
        <v>217202.64</v>
      </c>
    </row>
    <row r="317" spans="1:22" s="1129" customFormat="1" x14ac:dyDescent="0.25">
      <c r="A317" s="1123">
        <v>4081800400</v>
      </c>
      <c r="B317" s="1123">
        <v>2</v>
      </c>
      <c r="C317" s="1123">
        <v>4</v>
      </c>
      <c r="D317" s="1124" t="s">
        <v>2211</v>
      </c>
      <c r="E317" s="1126" t="s">
        <v>2253</v>
      </c>
      <c r="F317" s="1125">
        <v>287</v>
      </c>
      <c r="G317" s="1126" t="s">
        <v>753</v>
      </c>
      <c r="H317" s="1125">
        <v>1</v>
      </c>
      <c r="I317" s="1175" t="s">
        <v>1291</v>
      </c>
      <c r="J317" s="1126">
        <v>1</v>
      </c>
      <c r="K317" s="1125">
        <v>24</v>
      </c>
      <c r="L317" s="1125">
        <v>1</v>
      </c>
      <c r="M317" s="1125">
        <v>4</v>
      </c>
      <c r="N317" s="1126" t="s">
        <v>1257</v>
      </c>
      <c r="O317" s="1125">
        <v>13</v>
      </c>
      <c r="P317" s="1164">
        <v>0</v>
      </c>
      <c r="Q317" s="1164">
        <v>91977.37</v>
      </c>
      <c r="R317" s="1164">
        <v>91977.37</v>
      </c>
      <c r="S317" s="1164">
        <v>42911.02</v>
      </c>
      <c r="T317" s="1164">
        <v>42911.02</v>
      </c>
      <c r="U317" s="1164">
        <v>42911.02</v>
      </c>
      <c r="V317" s="1164">
        <v>42911.02</v>
      </c>
    </row>
    <row r="318" spans="1:22" s="1129" customFormat="1" x14ac:dyDescent="0.25">
      <c r="A318" s="1123">
        <v>4081800400</v>
      </c>
      <c r="B318" s="1123">
        <v>2</v>
      </c>
      <c r="C318" s="1123">
        <v>4</v>
      </c>
      <c r="D318" s="1124" t="s">
        <v>2211</v>
      </c>
      <c r="E318" s="1126" t="s">
        <v>2253</v>
      </c>
      <c r="F318" s="1125">
        <v>287</v>
      </c>
      <c r="G318" s="1126" t="s">
        <v>753</v>
      </c>
      <c r="H318" s="1125">
        <v>1</v>
      </c>
      <c r="I318" s="1175" t="s">
        <v>1293</v>
      </c>
      <c r="J318" s="1126">
        <v>1</v>
      </c>
      <c r="K318" s="1125">
        <v>24</v>
      </c>
      <c r="L318" s="1125">
        <v>1</v>
      </c>
      <c r="M318" s="1125">
        <v>4</v>
      </c>
      <c r="N318" s="1126" t="s">
        <v>1257</v>
      </c>
      <c r="O318" s="1125">
        <v>13</v>
      </c>
      <c r="P318" s="1164">
        <v>100000</v>
      </c>
      <c r="Q318" s="1164">
        <v>145790</v>
      </c>
      <c r="R318" s="1164">
        <v>245790</v>
      </c>
      <c r="S318" s="1164">
        <v>245790</v>
      </c>
      <c r="T318" s="1164">
        <v>245790</v>
      </c>
      <c r="U318" s="1164">
        <v>245790</v>
      </c>
      <c r="V318" s="1164">
        <v>245790</v>
      </c>
    </row>
    <row r="319" spans="1:22" s="1129" customFormat="1" x14ac:dyDescent="0.25">
      <c r="A319" s="1123">
        <v>4081800400</v>
      </c>
      <c r="B319" s="1123">
        <v>2</v>
      </c>
      <c r="C319" s="1123">
        <v>4</v>
      </c>
      <c r="D319" s="1124" t="s">
        <v>2211</v>
      </c>
      <c r="E319" s="1126" t="s">
        <v>2253</v>
      </c>
      <c r="F319" s="1125">
        <v>287</v>
      </c>
      <c r="G319" s="1126" t="s">
        <v>753</v>
      </c>
      <c r="H319" s="1125">
        <v>1</v>
      </c>
      <c r="I319" s="1175" t="s">
        <v>2230</v>
      </c>
      <c r="J319" s="1126">
        <v>1</v>
      </c>
      <c r="K319" s="1125">
        <v>24</v>
      </c>
      <c r="L319" s="1125">
        <v>1</v>
      </c>
      <c r="M319" s="1125">
        <v>4</v>
      </c>
      <c r="N319" s="1126" t="s">
        <v>1257</v>
      </c>
      <c r="O319" s="1125">
        <v>13</v>
      </c>
      <c r="P319" s="1164">
        <v>0</v>
      </c>
      <c r="Q319" s="1164">
        <v>1491.75</v>
      </c>
      <c r="R319" s="1164">
        <v>1491.75</v>
      </c>
      <c r="S319" s="1164">
        <v>1491.75</v>
      </c>
      <c r="T319" s="1164">
        <v>1491.75</v>
      </c>
      <c r="U319" s="1164">
        <v>1491.75</v>
      </c>
      <c r="V319" s="1164">
        <v>1491.75</v>
      </c>
    </row>
    <row r="320" spans="1:22" s="1129" customFormat="1" x14ac:dyDescent="0.25">
      <c r="A320" s="1123">
        <v>4081800400</v>
      </c>
      <c r="B320" s="1123">
        <v>2</v>
      </c>
      <c r="C320" s="1123">
        <v>4</v>
      </c>
      <c r="D320" s="1124" t="s">
        <v>2211</v>
      </c>
      <c r="E320" s="1126" t="s">
        <v>2253</v>
      </c>
      <c r="F320" s="1125">
        <v>287</v>
      </c>
      <c r="G320" s="1126" t="s">
        <v>753</v>
      </c>
      <c r="H320" s="1125">
        <v>1</v>
      </c>
      <c r="I320" s="1175" t="s">
        <v>2201</v>
      </c>
      <c r="J320" s="1126">
        <v>1</v>
      </c>
      <c r="K320" s="1125">
        <v>24</v>
      </c>
      <c r="L320" s="1125">
        <v>1</v>
      </c>
      <c r="M320" s="1125">
        <v>4</v>
      </c>
      <c r="N320" s="1126" t="s">
        <v>1257</v>
      </c>
      <c r="O320" s="1125">
        <v>13</v>
      </c>
      <c r="P320" s="1164">
        <v>25000</v>
      </c>
      <c r="Q320" s="1164">
        <v>0</v>
      </c>
      <c r="R320" s="1164">
        <v>25000</v>
      </c>
      <c r="S320" s="1164">
        <v>0</v>
      </c>
      <c r="T320" s="1164">
        <v>0</v>
      </c>
      <c r="U320" s="1164">
        <v>0</v>
      </c>
      <c r="V320" s="1164">
        <v>0</v>
      </c>
    </row>
    <row r="321" spans="1:22" s="1129" customFormat="1" x14ac:dyDescent="0.25">
      <c r="A321" s="1123">
        <v>4081800400</v>
      </c>
      <c r="B321" s="1123">
        <v>2</v>
      </c>
      <c r="C321" s="1123">
        <v>4</v>
      </c>
      <c r="D321" s="1124" t="s">
        <v>2211</v>
      </c>
      <c r="E321" s="1126" t="s">
        <v>2253</v>
      </c>
      <c r="F321" s="1125">
        <v>287</v>
      </c>
      <c r="G321" s="1126" t="s">
        <v>753</v>
      </c>
      <c r="H321" s="1125">
        <v>1</v>
      </c>
      <c r="I321" s="1175" t="s">
        <v>1310</v>
      </c>
      <c r="J321" s="1126">
        <v>1</v>
      </c>
      <c r="K321" s="1125">
        <v>24</v>
      </c>
      <c r="L321" s="1125">
        <v>1</v>
      </c>
      <c r="M321" s="1125">
        <v>4</v>
      </c>
      <c r="N321" s="1126" t="s">
        <v>1257</v>
      </c>
      <c r="O321" s="1125">
        <v>13</v>
      </c>
      <c r="P321" s="1164">
        <v>80000</v>
      </c>
      <c r="Q321" s="1164">
        <v>-54800</v>
      </c>
      <c r="R321" s="1164">
        <v>25200</v>
      </c>
      <c r="S321" s="1164">
        <v>25200</v>
      </c>
      <c r="T321" s="1164">
        <v>25200</v>
      </c>
      <c r="U321" s="1164">
        <v>25200</v>
      </c>
      <c r="V321" s="1164">
        <v>25200</v>
      </c>
    </row>
    <row r="322" spans="1:22" s="1129" customFormat="1" x14ac:dyDescent="0.25">
      <c r="A322" s="1123">
        <v>4081800400</v>
      </c>
      <c r="B322" s="1123">
        <v>2</v>
      </c>
      <c r="C322" s="1123">
        <v>4</v>
      </c>
      <c r="D322" s="1124" t="s">
        <v>2211</v>
      </c>
      <c r="E322" s="1126" t="s">
        <v>2253</v>
      </c>
      <c r="F322" s="1125">
        <v>287</v>
      </c>
      <c r="G322" s="1126" t="s">
        <v>753</v>
      </c>
      <c r="H322" s="1125">
        <v>1</v>
      </c>
      <c r="I322" s="1175" t="s">
        <v>1311</v>
      </c>
      <c r="J322" s="1126">
        <v>1</v>
      </c>
      <c r="K322" s="1125">
        <v>24</v>
      </c>
      <c r="L322" s="1125">
        <v>1</v>
      </c>
      <c r="M322" s="1125">
        <v>4</v>
      </c>
      <c r="N322" s="1126" t="s">
        <v>1257</v>
      </c>
      <c r="O322" s="1125">
        <v>13</v>
      </c>
      <c r="P322" s="1164">
        <v>20000</v>
      </c>
      <c r="Q322" s="1164">
        <v>0</v>
      </c>
      <c r="R322" s="1164">
        <v>20000</v>
      </c>
      <c r="S322" s="1164">
        <v>11200</v>
      </c>
      <c r="T322" s="1164">
        <v>11200</v>
      </c>
      <c r="U322" s="1164">
        <v>11200</v>
      </c>
      <c r="V322" s="1164">
        <v>11200</v>
      </c>
    </row>
    <row r="323" spans="1:22" s="1129" customFormat="1" x14ac:dyDescent="0.25">
      <c r="A323" s="1123">
        <v>4081800400</v>
      </c>
      <c r="B323" s="1123">
        <v>2</v>
      </c>
      <c r="C323" s="1123">
        <v>4</v>
      </c>
      <c r="D323" s="1124" t="s">
        <v>2211</v>
      </c>
      <c r="E323" s="1126" t="s">
        <v>2253</v>
      </c>
      <c r="F323" s="1125">
        <v>287</v>
      </c>
      <c r="G323" s="1126" t="s">
        <v>753</v>
      </c>
      <c r="H323" s="1125">
        <v>1</v>
      </c>
      <c r="I323" s="1175" t="s">
        <v>1312</v>
      </c>
      <c r="J323" s="1126">
        <v>1</v>
      </c>
      <c r="K323" s="1125">
        <v>24</v>
      </c>
      <c r="L323" s="1125">
        <v>1</v>
      </c>
      <c r="M323" s="1125">
        <v>4</v>
      </c>
      <c r="N323" s="1126" t="s">
        <v>1257</v>
      </c>
      <c r="O323" s="1125">
        <v>13</v>
      </c>
      <c r="P323" s="1164">
        <v>5000</v>
      </c>
      <c r="Q323" s="1164">
        <v>14701</v>
      </c>
      <c r="R323" s="1164">
        <v>19701</v>
      </c>
      <c r="S323" s="1164">
        <v>19701</v>
      </c>
      <c r="T323" s="1164">
        <v>19701</v>
      </c>
      <c r="U323" s="1164">
        <v>19701</v>
      </c>
      <c r="V323" s="1164">
        <v>19701</v>
      </c>
    </row>
    <row r="324" spans="1:22" s="1129" customFormat="1" x14ac:dyDescent="0.25">
      <c r="A324" s="1123">
        <v>4081800400</v>
      </c>
      <c r="B324" s="1123">
        <v>2</v>
      </c>
      <c r="C324" s="1123">
        <v>4</v>
      </c>
      <c r="D324" s="1124" t="s">
        <v>2211</v>
      </c>
      <c r="E324" s="1126" t="s">
        <v>2253</v>
      </c>
      <c r="F324" s="1125">
        <v>287</v>
      </c>
      <c r="G324" s="1126" t="s">
        <v>753</v>
      </c>
      <c r="H324" s="1125">
        <v>1</v>
      </c>
      <c r="I324" s="1175" t="s">
        <v>2219</v>
      </c>
      <c r="J324" s="1126">
        <v>1</v>
      </c>
      <c r="K324" s="1125">
        <v>24</v>
      </c>
      <c r="L324" s="1125">
        <v>1</v>
      </c>
      <c r="M324" s="1125">
        <v>4</v>
      </c>
      <c r="N324" s="1126" t="s">
        <v>1257</v>
      </c>
      <c r="O324" s="1125">
        <v>13</v>
      </c>
      <c r="P324" s="1164">
        <v>0</v>
      </c>
      <c r="Q324" s="1164">
        <v>127028.12</v>
      </c>
      <c r="R324" s="1164">
        <v>127028.12</v>
      </c>
      <c r="S324" s="1164">
        <v>127028.12</v>
      </c>
      <c r="T324" s="1164">
        <v>127028.12</v>
      </c>
      <c r="U324" s="1164">
        <v>127028.12</v>
      </c>
      <c r="V324" s="1164">
        <v>127028.12</v>
      </c>
    </row>
    <row r="325" spans="1:22" s="1129" customFormat="1" x14ac:dyDescent="0.25">
      <c r="A325" s="1123">
        <v>4081800400</v>
      </c>
      <c r="B325" s="1123">
        <v>2</v>
      </c>
      <c r="C325" s="1123">
        <v>4</v>
      </c>
      <c r="D325" s="1124" t="s">
        <v>2211</v>
      </c>
      <c r="E325" s="1126" t="s">
        <v>2253</v>
      </c>
      <c r="F325" s="1125">
        <v>287</v>
      </c>
      <c r="G325" s="1126" t="s">
        <v>753</v>
      </c>
      <c r="H325" s="1125">
        <v>1</v>
      </c>
      <c r="I325" s="1175" t="s">
        <v>2221</v>
      </c>
      <c r="J325" s="1126">
        <v>1</v>
      </c>
      <c r="K325" s="1125">
        <v>24</v>
      </c>
      <c r="L325" s="1125">
        <v>1</v>
      </c>
      <c r="M325" s="1125">
        <v>4</v>
      </c>
      <c r="N325" s="1126" t="s">
        <v>1257</v>
      </c>
      <c r="O325" s="1125">
        <v>13</v>
      </c>
      <c r="P325" s="1164">
        <v>154000</v>
      </c>
      <c r="Q325" s="1164">
        <v>-17142.599999999999</v>
      </c>
      <c r="R325" s="1164">
        <v>136857.4</v>
      </c>
      <c r="S325" s="1164">
        <v>24097</v>
      </c>
      <c r="T325" s="1164">
        <v>24097</v>
      </c>
      <c r="U325" s="1164">
        <v>24097</v>
      </c>
      <c r="V325" s="1164">
        <v>24097</v>
      </c>
    </row>
    <row r="326" spans="1:22" s="1129" customFormat="1" x14ac:dyDescent="0.25">
      <c r="A326" s="1123">
        <v>4081800500</v>
      </c>
      <c r="B326" s="1123">
        <v>2</v>
      </c>
      <c r="C326" s="1123">
        <v>4</v>
      </c>
      <c r="D326" s="1124" t="s">
        <v>2211</v>
      </c>
      <c r="E326" s="1126" t="s">
        <v>2253</v>
      </c>
      <c r="F326" s="1125">
        <v>287</v>
      </c>
      <c r="G326" s="1126" t="s">
        <v>753</v>
      </c>
      <c r="H326" s="1125">
        <v>1</v>
      </c>
      <c r="I326" s="1175" t="s">
        <v>1284</v>
      </c>
      <c r="J326" s="1126">
        <v>1</v>
      </c>
      <c r="K326" s="1125">
        <v>24</v>
      </c>
      <c r="L326" s="1125">
        <v>1</v>
      </c>
      <c r="M326" s="1125">
        <v>4</v>
      </c>
      <c r="N326" s="1126" t="s">
        <v>1257</v>
      </c>
      <c r="O326" s="1125">
        <v>13</v>
      </c>
      <c r="P326" s="1164">
        <v>5000</v>
      </c>
      <c r="Q326" s="1164">
        <v>48367.27</v>
      </c>
      <c r="R326" s="1164">
        <v>53367.27</v>
      </c>
      <c r="S326" s="1164">
        <v>53367.27</v>
      </c>
      <c r="T326" s="1164">
        <v>53367.27</v>
      </c>
      <c r="U326" s="1164">
        <v>53367.27</v>
      </c>
      <c r="V326" s="1164">
        <v>53367.27</v>
      </c>
    </row>
    <row r="327" spans="1:22" s="1129" customFormat="1" x14ac:dyDescent="0.25">
      <c r="A327" s="1123">
        <v>4081800500</v>
      </c>
      <c r="B327" s="1123">
        <v>2</v>
      </c>
      <c r="C327" s="1123">
        <v>4</v>
      </c>
      <c r="D327" s="1124" t="s">
        <v>2211</v>
      </c>
      <c r="E327" s="1126" t="s">
        <v>2253</v>
      </c>
      <c r="F327" s="1125">
        <v>287</v>
      </c>
      <c r="G327" s="1126" t="s">
        <v>753</v>
      </c>
      <c r="H327" s="1125">
        <v>1</v>
      </c>
      <c r="I327" s="1175" t="s">
        <v>1285</v>
      </c>
      <c r="J327" s="1126">
        <v>1</v>
      </c>
      <c r="K327" s="1125">
        <v>24</v>
      </c>
      <c r="L327" s="1125">
        <v>1</v>
      </c>
      <c r="M327" s="1125">
        <v>4</v>
      </c>
      <c r="N327" s="1126" t="s">
        <v>1257</v>
      </c>
      <c r="O327" s="1125">
        <v>13</v>
      </c>
      <c r="P327" s="1164">
        <v>33000</v>
      </c>
      <c r="Q327" s="1164">
        <v>0</v>
      </c>
      <c r="R327" s="1164">
        <v>33000</v>
      </c>
      <c r="S327" s="1164">
        <v>26133.84</v>
      </c>
      <c r="T327" s="1164">
        <v>26133.84</v>
      </c>
      <c r="U327" s="1164">
        <v>26133.84</v>
      </c>
      <c r="V327" s="1164">
        <v>26133.84</v>
      </c>
    </row>
    <row r="328" spans="1:22" s="1129" customFormat="1" x14ac:dyDescent="0.25">
      <c r="A328" s="1123">
        <v>4081800500</v>
      </c>
      <c r="B328" s="1123">
        <v>2</v>
      </c>
      <c r="C328" s="1123">
        <v>4</v>
      </c>
      <c r="D328" s="1124" t="s">
        <v>2211</v>
      </c>
      <c r="E328" s="1126" t="s">
        <v>2253</v>
      </c>
      <c r="F328" s="1125">
        <v>287</v>
      </c>
      <c r="G328" s="1126" t="s">
        <v>753</v>
      </c>
      <c r="H328" s="1125">
        <v>1</v>
      </c>
      <c r="I328" s="1175" t="s">
        <v>1286</v>
      </c>
      <c r="J328" s="1126">
        <v>1</v>
      </c>
      <c r="K328" s="1125">
        <v>24</v>
      </c>
      <c r="L328" s="1125">
        <v>1</v>
      </c>
      <c r="M328" s="1125">
        <v>4</v>
      </c>
      <c r="N328" s="1126" t="s">
        <v>1257</v>
      </c>
      <c r="O328" s="1125">
        <v>13</v>
      </c>
      <c r="P328" s="1164">
        <v>0</v>
      </c>
      <c r="Q328" s="1164">
        <v>4493</v>
      </c>
      <c r="R328" s="1164">
        <v>4493</v>
      </c>
      <c r="S328" s="1164">
        <v>4493</v>
      </c>
      <c r="T328" s="1164">
        <v>4493</v>
      </c>
      <c r="U328" s="1164">
        <v>4493</v>
      </c>
      <c r="V328" s="1164">
        <v>4493</v>
      </c>
    </row>
    <row r="329" spans="1:22" x14ac:dyDescent="0.25">
      <c r="A329" s="1123">
        <v>4081800500</v>
      </c>
      <c r="B329" s="1123">
        <v>2</v>
      </c>
      <c r="C329" s="1123">
        <v>4</v>
      </c>
      <c r="D329" s="1124" t="s">
        <v>2211</v>
      </c>
      <c r="E329" s="1126" t="s">
        <v>2253</v>
      </c>
      <c r="F329" s="1125">
        <v>287</v>
      </c>
      <c r="G329" s="1126" t="s">
        <v>753</v>
      </c>
      <c r="H329" s="1125">
        <v>1</v>
      </c>
      <c r="I329" s="1175" t="s">
        <v>1287</v>
      </c>
      <c r="J329" s="1126">
        <v>1</v>
      </c>
      <c r="K329" s="1125">
        <v>24</v>
      </c>
      <c r="L329" s="1125">
        <v>1</v>
      </c>
      <c r="M329" s="1125">
        <v>4</v>
      </c>
      <c r="N329" s="1126" t="s">
        <v>1257</v>
      </c>
      <c r="O329" s="1125">
        <v>13</v>
      </c>
      <c r="P329" s="1164">
        <v>15000</v>
      </c>
      <c r="Q329" s="1164">
        <v>4127.92</v>
      </c>
      <c r="R329" s="1164">
        <v>19127.919999999998</v>
      </c>
      <c r="S329" s="1164">
        <v>19127.919999999998</v>
      </c>
      <c r="T329" s="1164">
        <v>19127.919999999998</v>
      </c>
      <c r="U329" s="1164">
        <v>19127.919999999998</v>
      </c>
      <c r="V329" s="1164">
        <v>19127.919999999998</v>
      </c>
    </row>
    <row r="330" spans="1:22" x14ac:dyDescent="0.25">
      <c r="A330" s="1123">
        <v>4081800500</v>
      </c>
      <c r="B330" s="1123">
        <v>2</v>
      </c>
      <c r="C330" s="1123">
        <v>4</v>
      </c>
      <c r="D330" s="1124" t="s">
        <v>2211</v>
      </c>
      <c r="E330" s="1126" t="s">
        <v>2253</v>
      </c>
      <c r="F330" s="1125">
        <v>287</v>
      </c>
      <c r="G330" s="1126" t="s">
        <v>753</v>
      </c>
      <c r="H330" s="1125">
        <v>1</v>
      </c>
      <c r="I330" s="1175" t="s">
        <v>1288</v>
      </c>
      <c r="J330" s="1126">
        <v>1</v>
      </c>
      <c r="K330" s="1125">
        <v>24</v>
      </c>
      <c r="L330" s="1125">
        <v>1</v>
      </c>
      <c r="M330" s="1125">
        <v>4</v>
      </c>
      <c r="N330" s="1126" t="s">
        <v>1257</v>
      </c>
      <c r="O330" s="1125">
        <v>13</v>
      </c>
      <c r="P330" s="1164">
        <v>10000</v>
      </c>
      <c r="Q330" s="1164">
        <v>41959.9</v>
      </c>
      <c r="R330" s="1164">
        <v>51959.9</v>
      </c>
      <c r="S330" s="1164">
        <v>51959.9</v>
      </c>
      <c r="T330" s="1164">
        <v>51959.9</v>
      </c>
      <c r="U330" s="1164">
        <v>51959.9</v>
      </c>
      <c r="V330" s="1164">
        <v>51959.9</v>
      </c>
    </row>
    <row r="331" spans="1:22" x14ac:dyDescent="0.25">
      <c r="A331" s="1123">
        <v>4081800500</v>
      </c>
      <c r="B331" s="1123">
        <v>2</v>
      </c>
      <c r="C331" s="1123">
        <v>4</v>
      </c>
      <c r="D331" s="1124" t="s">
        <v>2211</v>
      </c>
      <c r="E331" s="1126" t="s">
        <v>2253</v>
      </c>
      <c r="F331" s="1125">
        <v>287</v>
      </c>
      <c r="G331" s="1126" t="s">
        <v>753</v>
      </c>
      <c r="H331" s="1125">
        <v>1</v>
      </c>
      <c r="I331" s="1175" t="s">
        <v>1289</v>
      </c>
      <c r="J331" s="1126">
        <v>1</v>
      </c>
      <c r="K331" s="1125">
        <v>24</v>
      </c>
      <c r="L331" s="1125">
        <v>1</v>
      </c>
      <c r="M331" s="1125">
        <v>4</v>
      </c>
      <c r="N331" s="1126" t="s">
        <v>1257</v>
      </c>
      <c r="O331" s="1125">
        <v>13</v>
      </c>
      <c r="P331" s="1164">
        <v>0</v>
      </c>
      <c r="Q331" s="1164">
        <v>13805</v>
      </c>
      <c r="R331" s="1164">
        <v>13805</v>
      </c>
      <c r="S331" s="1164">
        <v>13805</v>
      </c>
      <c r="T331" s="1164">
        <v>13805</v>
      </c>
      <c r="U331" s="1164">
        <v>13805</v>
      </c>
      <c r="V331" s="1164">
        <v>13805</v>
      </c>
    </row>
    <row r="332" spans="1:22" x14ac:dyDescent="0.25">
      <c r="A332" s="1123">
        <v>4081800500</v>
      </c>
      <c r="B332" s="1123">
        <v>2</v>
      </c>
      <c r="C332" s="1123">
        <v>4</v>
      </c>
      <c r="D332" s="1124" t="s">
        <v>2211</v>
      </c>
      <c r="E332" s="1126" t="s">
        <v>2253</v>
      </c>
      <c r="F332" s="1125">
        <v>287</v>
      </c>
      <c r="G332" s="1126" t="s">
        <v>753</v>
      </c>
      <c r="H332" s="1125">
        <v>1</v>
      </c>
      <c r="I332" s="1175" t="s">
        <v>2226</v>
      </c>
      <c r="J332" s="1126">
        <v>1</v>
      </c>
      <c r="K332" s="1125">
        <v>24</v>
      </c>
      <c r="L332" s="1125">
        <v>1</v>
      </c>
      <c r="M332" s="1125">
        <v>4</v>
      </c>
      <c r="N332" s="1126" t="s">
        <v>1257</v>
      </c>
      <c r="O332" s="1125">
        <v>13</v>
      </c>
      <c r="P332" s="1164">
        <v>0</v>
      </c>
      <c r="Q332" s="1164">
        <v>120773.19</v>
      </c>
      <c r="R332" s="1164">
        <v>120773.19</v>
      </c>
      <c r="S332" s="1164">
        <v>120773.19</v>
      </c>
      <c r="T332" s="1164">
        <v>120773.19</v>
      </c>
      <c r="U332" s="1164">
        <v>120773.19</v>
      </c>
      <c r="V332" s="1164">
        <v>120773.19</v>
      </c>
    </row>
    <row r="333" spans="1:22" x14ac:dyDescent="0.25">
      <c r="A333" s="1123">
        <v>4081800500</v>
      </c>
      <c r="B333" s="1123">
        <v>2</v>
      </c>
      <c r="C333" s="1123">
        <v>4</v>
      </c>
      <c r="D333" s="1124" t="s">
        <v>2211</v>
      </c>
      <c r="E333" s="1126" t="s">
        <v>2253</v>
      </c>
      <c r="F333" s="1125">
        <v>287</v>
      </c>
      <c r="G333" s="1126" t="s">
        <v>753</v>
      </c>
      <c r="H333" s="1125">
        <v>1</v>
      </c>
      <c r="I333" s="1175" t="s">
        <v>2228</v>
      </c>
      <c r="J333" s="1126">
        <v>1</v>
      </c>
      <c r="K333" s="1125">
        <v>24</v>
      </c>
      <c r="L333" s="1125">
        <v>1</v>
      </c>
      <c r="M333" s="1125">
        <v>4</v>
      </c>
      <c r="N333" s="1126" t="s">
        <v>1257</v>
      </c>
      <c r="O333" s="1125">
        <v>13</v>
      </c>
      <c r="P333" s="1164">
        <v>0</v>
      </c>
      <c r="Q333" s="1164">
        <v>42651.56</v>
      </c>
      <c r="R333" s="1164">
        <v>42651.56</v>
      </c>
      <c r="S333" s="1164">
        <v>42651.56</v>
      </c>
      <c r="T333" s="1164">
        <v>42651.56</v>
      </c>
      <c r="U333" s="1164">
        <v>42651.56</v>
      </c>
      <c r="V333" s="1164">
        <v>42651.56</v>
      </c>
    </row>
    <row r="334" spans="1:22" x14ac:dyDescent="0.25">
      <c r="A334" s="1123">
        <v>4081800500</v>
      </c>
      <c r="B334" s="1123">
        <v>2</v>
      </c>
      <c r="C334" s="1123">
        <v>4</v>
      </c>
      <c r="D334" s="1124" t="s">
        <v>2211</v>
      </c>
      <c r="E334" s="1126" t="s">
        <v>2253</v>
      </c>
      <c r="F334" s="1125">
        <v>287</v>
      </c>
      <c r="G334" s="1126" t="s">
        <v>753</v>
      </c>
      <c r="H334" s="1125">
        <v>1</v>
      </c>
      <c r="I334" s="1175" t="s">
        <v>2283</v>
      </c>
      <c r="J334" s="1126">
        <v>1</v>
      </c>
      <c r="K334" s="1125">
        <v>24</v>
      </c>
      <c r="L334" s="1125">
        <v>1</v>
      </c>
      <c r="M334" s="1125">
        <v>4</v>
      </c>
      <c r="N334" s="1126" t="s">
        <v>1257</v>
      </c>
      <c r="O334" s="1125">
        <v>13</v>
      </c>
      <c r="P334" s="1164">
        <v>0</v>
      </c>
      <c r="Q334" s="1164">
        <v>1786.4</v>
      </c>
      <c r="R334" s="1164">
        <v>1786.4</v>
      </c>
      <c r="S334" s="1164">
        <v>1786.4</v>
      </c>
      <c r="T334" s="1164">
        <v>1786.4</v>
      </c>
      <c r="U334" s="1164">
        <v>1786.4</v>
      </c>
      <c r="V334" s="1164">
        <v>1786.4</v>
      </c>
    </row>
    <row r="335" spans="1:22" x14ac:dyDescent="0.25">
      <c r="A335" s="1123">
        <v>4081800500</v>
      </c>
      <c r="B335" s="1123">
        <v>2</v>
      </c>
      <c r="C335" s="1123">
        <v>4</v>
      </c>
      <c r="D335" s="1124" t="s">
        <v>2211</v>
      </c>
      <c r="E335" s="1126" t="s">
        <v>2253</v>
      </c>
      <c r="F335" s="1125">
        <v>287</v>
      </c>
      <c r="G335" s="1126" t="s">
        <v>753</v>
      </c>
      <c r="H335" s="1125">
        <v>1</v>
      </c>
      <c r="I335" s="1175" t="s">
        <v>1291</v>
      </c>
      <c r="J335" s="1126">
        <v>1</v>
      </c>
      <c r="K335" s="1125">
        <v>24</v>
      </c>
      <c r="L335" s="1125">
        <v>1</v>
      </c>
      <c r="M335" s="1125">
        <v>4</v>
      </c>
      <c r="N335" s="1126" t="s">
        <v>1257</v>
      </c>
      <c r="O335" s="1125">
        <v>13</v>
      </c>
      <c r="P335" s="1164">
        <v>20000</v>
      </c>
      <c r="Q335" s="1164">
        <v>75473.960000000006</v>
      </c>
      <c r="R335" s="1164">
        <v>95473.96</v>
      </c>
      <c r="S335" s="1164">
        <v>95473.96</v>
      </c>
      <c r="T335" s="1164">
        <v>95473.96</v>
      </c>
      <c r="U335" s="1164">
        <v>95473.96</v>
      </c>
      <c r="V335" s="1164">
        <v>95473.96</v>
      </c>
    </row>
    <row r="336" spans="1:22" x14ac:dyDescent="0.25">
      <c r="A336" s="1123">
        <v>4081800500</v>
      </c>
      <c r="B336" s="1123">
        <v>2</v>
      </c>
      <c r="C336" s="1123">
        <v>4</v>
      </c>
      <c r="D336" s="1124" t="s">
        <v>2211</v>
      </c>
      <c r="E336" s="1126" t="s">
        <v>2253</v>
      </c>
      <c r="F336" s="1125">
        <v>287</v>
      </c>
      <c r="G336" s="1126" t="s">
        <v>753</v>
      </c>
      <c r="H336" s="1125">
        <v>1</v>
      </c>
      <c r="I336" s="1175" t="s">
        <v>2232</v>
      </c>
      <c r="J336" s="1126">
        <v>1</v>
      </c>
      <c r="K336" s="1125">
        <v>24</v>
      </c>
      <c r="L336" s="1125">
        <v>1</v>
      </c>
      <c r="M336" s="1125">
        <v>4</v>
      </c>
      <c r="N336" s="1126" t="s">
        <v>1257</v>
      </c>
      <c r="O336" s="1125">
        <v>13</v>
      </c>
      <c r="P336" s="1164">
        <v>0</v>
      </c>
      <c r="Q336" s="1164">
        <v>9514</v>
      </c>
      <c r="R336" s="1164">
        <v>9514</v>
      </c>
      <c r="S336" s="1164">
        <v>9514</v>
      </c>
      <c r="T336" s="1164">
        <v>9514</v>
      </c>
      <c r="U336" s="1164">
        <v>9514</v>
      </c>
      <c r="V336" s="1164">
        <v>9514</v>
      </c>
    </row>
    <row r="337" spans="1:22" x14ac:dyDescent="0.25">
      <c r="A337" s="1123">
        <v>4081800500</v>
      </c>
      <c r="B337" s="1123">
        <v>2</v>
      </c>
      <c r="C337" s="1123">
        <v>4</v>
      </c>
      <c r="D337" s="1124" t="s">
        <v>2211</v>
      </c>
      <c r="E337" s="1126" t="s">
        <v>2253</v>
      </c>
      <c r="F337" s="1125">
        <v>287</v>
      </c>
      <c r="G337" s="1126" t="s">
        <v>753</v>
      </c>
      <c r="H337" s="1125">
        <v>1</v>
      </c>
      <c r="I337" s="1175" t="s">
        <v>2231</v>
      </c>
      <c r="J337" s="1126">
        <v>1</v>
      </c>
      <c r="K337" s="1125">
        <v>24</v>
      </c>
      <c r="L337" s="1125">
        <v>1</v>
      </c>
      <c r="M337" s="1125">
        <v>4</v>
      </c>
      <c r="N337" s="1126" t="s">
        <v>1257</v>
      </c>
      <c r="O337" s="1125">
        <v>13</v>
      </c>
      <c r="P337" s="1164">
        <v>20000</v>
      </c>
      <c r="Q337" s="1164">
        <v>-15883.45</v>
      </c>
      <c r="R337" s="1164">
        <v>4116.55</v>
      </c>
      <c r="S337" s="1164">
        <v>4116.55</v>
      </c>
      <c r="T337" s="1164">
        <v>4116.55</v>
      </c>
      <c r="U337" s="1164">
        <v>4116.55</v>
      </c>
      <c r="V337" s="1164">
        <v>4116.55</v>
      </c>
    </row>
    <row r="338" spans="1:22" x14ac:dyDescent="0.25">
      <c r="A338" s="1123">
        <v>4081800500</v>
      </c>
      <c r="B338" s="1123">
        <v>2</v>
      </c>
      <c r="C338" s="1123">
        <v>4</v>
      </c>
      <c r="D338" s="1124" t="s">
        <v>2211</v>
      </c>
      <c r="E338" s="1126" t="s">
        <v>2253</v>
      </c>
      <c r="F338" s="1125">
        <v>287</v>
      </c>
      <c r="G338" s="1126" t="s">
        <v>753</v>
      </c>
      <c r="H338" s="1125">
        <v>1</v>
      </c>
      <c r="I338" s="1175" t="s">
        <v>2223</v>
      </c>
      <c r="J338" s="1126">
        <v>1</v>
      </c>
      <c r="K338" s="1125">
        <v>24</v>
      </c>
      <c r="L338" s="1125">
        <v>1</v>
      </c>
      <c r="M338" s="1125">
        <v>4</v>
      </c>
      <c r="N338" s="1126" t="s">
        <v>1257</v>
      </c>
      <c r="O338" s="1125">
        <v>13</v>
      </c>
      <c r="P338" s="1164">
        <v>49000</v>
      </c>
      <c r="Q338" s="1164">
        <v>-49000</v>
      </c>
      <c r="R338" s="1164">
        <v>0</v>
      </c>
      <c r="S338" s="1164">
        <v>0</v>
      </c>
      <c r="T338" s="1164">
        <v>0</v>
      </c>
      <c r="U338" s="1164">
        <v>0</v>
      </c>
      <c r="V338" s="1164">
        <v>0</v>
      </c>
    </row>
    <row r="339" spans="1:22" x14ac:dyDescent="0.25">
      <c r="A339" s="1123">
        <v>4081800500</v>
      </c>
      <c r="B339" s="1123">
        <v>2</v>
      </c>
      <c r="C339" s="1123">
        <v>4</v>
      </c>
      <c r="D339" s="1124" t="s">
        <v>2211</v>
      </c>
      <c r="E339" s="1126" t="s">
        <v>2253</v>
      </c>
      <c r="F339" s="1125">
        <v>287</v>
      </c>
      <c r="G339" s="1126" t="s">
        <v>753</v>
      </c>
      <c r="H339" s="1125">
        <v>1</v>
      </c>
      <c r="I339" s="1175" t="s">
        <v>1292</v>
      </c>
      <c r="J339" s="1126">
        <v>1</v>
      </c>
      <c r="K339" s="1125">
        <v>24</v>
      </c>
      <c r="L339" s="1125">
        <v>1</v>
      </c>
      <c r="M339" s="1125">
        <v>4</v>
      </c>
      <c r="N339" s="1126" t="s">
        <v>1257</v>
      </c>
      <c r="O339" s="1125">
        <v>13</v>
      </c>
      <c r="P339" s="1164">
        <v>36000</v>
      </c>
      <c r="Q339" s="1164">
        <v>5769.42</v>
      </c>
      <c r="R339" s="1164">
        <v>41769.42</v>
      </c>
      <c r="S339" s="1164">
        <v>41769.42</v>
      </c>
      <c r="T339" s="1164">
        <v>41769.42</v>
      </c>
      <c r="U339" s="1164">
        <v>41769.42</v>
      </c>
      <c r="V339" s="1164">
        <v>41769.42</v>
      </c>
    </row>
    <row r="340" spans="1:22" x14ac:dyDescent="0.25">
      <c r="A340" s="1123">
        <v>4081800500</v>
      </c>
      <c r="B340" s="1123">
        <v>2</v>
      </c>
      <c r="C340" s="1123">
        <v>4</v>
      </c>
      <c r="D340" s="1124" t="s">
        <v>2211</v>
      </c>
      <c r="E340" s="1126" t="s">
        <v>2253</v>
      </c>
      <c r="F340" s="1125">
        <v>287</v>
      </c>
      <c r="G340" s="1126" t="s">
        <v>753</v>
      </c>
      <c r="H340" s="1125">
        <v>1</v>
      </c>
      <c r="I340" s="1175" t="s">
        <v>1294</v>
      </c>
      <c r="J340" s="1126">
        <v>1</v>
      </c>
      <c r="K340" s="1125">
        <v>24</v>
      </c>
      <c r="L340" s="1125">
        <v>1</v>
      </c>
      <c r="M340" s="1125">
        <v>4</v>
      </c>
      <c r="N340" s="1126" t="s">
        <v>1257</v>
      </c>
      <c r="O340" s="1125">
        <v>13</v>
      </c>
      <c r="P340" s="1164">
        <v>0</v>
      </c>
      <c r="Q340" s="1164">
        <v>6442</v>
      </c>
      <c r="R340" s="1164">
        <v>6442</v>
      </c>
      <c r="S340" s="1164">
        <v>5767</v>
      </c>
      <c r="T340" s="1164">
        <v>5767</v>
      </c>
      <c r="U340" s="1164">
        <v>5767</v>
      </c>
      <c r="V340" s="1164">
        <v>5767</v>
      </c>
    </row>
    <row r="341" spans="1:22" x14ac:dyDescent="0.25">
      <c r="A341" s="1123">
        <v>4081800500</v>
      </c>
      <c r="B341" s="1123">
        <v>2</v>
      </c>
      <c r="C341" s="1123">
        <v>4</v>
      </c>
      <c r="D341" s="1124" t="s">
        <v>2211</v>
      </c>
      <c r="E341" s="1126" t="s">
        <v>2253</v>
      </c>
      <c r="F341" s="1125">
        <v>287</v>
      </c>
      <c r="G341" s="1126" t="s">
        <v>753</v>
      </c>
      <c r="H341" s="1125">
        <v>1</v>
      </c>
      <c r="I341" s="1175" t="s">
        <v>1298</v>
      </c>
      <c r="J341" s="1126">
        <v>1</v>
      </c>
      <c r="K341" s="1125">
        <v>24</v>
      </c>
      <c r="L341" s="1125">
        <v>1</v>
      </c>
      <c r="M341" s="1125">
        <v>4</v>
      </c>
      <c r="N341" s="1126" t="s">
        <v>1257</v>
      </c>
      <c r="O341" s="1125">
        <v>13</v>
      </c>
      <c r="P341" s="1164">
        <v>0</v>
      </c>
      <c r="Q341" s="1164">
        <v>1281.68</v>
      </c>
      <c r="R341" s="1164">
        <v>1281.68</v>
      </c>
      <c r="S341" s="1164">
        <v>1281.68</v>
      </c>
      <c r="T341" s="1164">
        <v>1281.68</v>
      </c>
      <c r="U341" s="1164">
        <v>1281.68</v>
      </c>
      <c r="V341" s="1164">
        <v>1281.68</v>
      </c>
    </row>
    <row r="342" spans="1:22" x14ac:dyDescent="0.25">
      <c r="A342" s="1123">
        <v>4081800500</v>
      </c>
      <c r="B342" s="1123">
        <v>2</v>
      </c>
      <c r="C342" s="1123">
        <v>4</v>
      </c>
      <c r="D342" s="1124" t="s">
        <v>2211</v>
      </c>
      <c r="E342" s="1126" t="s">
        <v>2253</v>
      </c>
      <c r="F342" s="1125">
        <v>287</v>
      </c>
      <c r="G342" s="1126" t="s">
        <v>753</v>
      </c>
      <c r="H342" s="1125">
        <v>1</v>
      </c>
      <c r="I342" s="1175" t="s">
        <v>1299</v>
      </c>
      <c r="J342" s="1126">
        <v>1</v>
      </c>
      <c r="K342" s="1125">
        <v>24</v>
      </c>
      <c r="L342" s="1125">
        <v>1</v>
      </c>
      <c r="M342" s="1125">
        <v>4</v>
      </c>
      <c r="N342" s="1126" t="s">
        <v>1257</v>
      </c>
      <c r="O342" s="1125">
        <v>13</v>
      </c>
      <c r="P342" s="1164">
        <v>0</v>
      </c>
      <c r="Q342" s="1164">
        <v>13557.56</v>
      </c>
      <c r="R342" s="1164">
        <v>13557.56</v>
      </c>
      <c r="S342" s="1164">
        <v>13557.56</v>
      </c>
      <c r="T342" s="1164">
        <v>13557.56</v>
      </c>
      <c r="U342" s="1164">
        <v>13557.56</v>
      </c>
      <c r="V342" s="1164">
        <v>13557.56</v>
      </c>
    </row>
    <row r="343" spans="1:22" x14ac:dyDescent="0.25">
      <c r="A343" s="1123">
        <v>4081800500</v>
      </c>
      <c r="B343" s="1123">
        <v>2</v>
      </c>
      <c r="C343" s="1123">
        <v>4</v>
      </c>
      <c r="D343" s="1124" t="s">
        <v>2211</v>
      </c>
      <c r="E343" s="1126" t="s">
        <v>2253</v>
      </c>
      <c r="F343" s="1125">
        <v>287</v>
      </c>
      <c r="G343" s="1126" t="s">
        <v>753</v>
      </c>
      <c r="H343" s="1125">
        <v>1</v>
      </c>
      <c r="I343" s="1175" t="s">
        <v>2196</v>
      </c>
      <c r="J343" s="1126">
        <v>1</v>
      </c>
      <c r="K343" s="1125">
        <v>24</v>
      </c>
      <c r="L343" s="1125">
        <v>1</v>
      </c>
      <c r="M343" s="1125">
        <v>4</v>
      </c>
      <c r="N343" s="1126" t="s">
        <v>1257</v>
      </c>
      <c r="O343" s="1125">
        <v>13</v>
      </c>
      <c r="P343" s="1164">
        <v>0</v>
      </c>
      <c r="Q343" s="1164">
        <v>20159.37</v>
      </c>
      <c r="R343" s="1164">
        <v>20159.37</v>
      </c>
      <c r="S343" s="1164">
        <v>20159.37</v>
      </c>
      <c r="T343" s="1164">
        <v>20159.37</v>
      </c>
      <c r="U343" s="1164">
        <v>20159.37</v>
      </c>
      <c r="V343" s="1164">
        <v>20159.37</v>
      </c>
    </row>
    <row r="344" spans="1:22" x14ac:dyDescent="0.25">
      <c r="A344" s="1123">
        <v>4081800500</v>
      </c>
      <c r="B344" s="1123">
        <v>2</v>
      </c>
      <c r="C344" s="1123">
        <v>4</v>
      </c>
      <c r="D344" s="1124" t="s">
        <v>2211</v>
      </c>
      <c r="E344" s="1126" t="s">
        <v>2253</v>
      </c>
      <c r="F344" s="1125">
        <v>287</v>
      </c>
      <c r="G344" s="1126" t="s">
        <v>753</v>
      </c>
      <c r="H344" s="1125">
        <v>1</v>
      </c>
      <c r="I344" s="1175" t="s">
        <v>1301</v>
      </c>
      <c r="J344" s="1126">
        <v>1</v>
      </c>
      <c r="K344" s="1125">
        <v>24</v>
      </c>
      <c r="L344" s="1125">
        <v>1</v>
      </c>
      <c r="M344" s="1125">
        <v>4</v>
      </c>
      <c r="N344" s="1126" t="s">
        <v>1257</v>
      </c>
      <c r="O344" s="1125">
        <v>13</v>
      </c>
      <c r="P344" s="1164">
        <v>80000</v>
      </c>
      <c r="Q344" s="1164">
        <v>-15425.52</v>
      </c>
      <c r="R344" s="1164">
        <v>64574.48</v>
      </c>
      <c r="S344" s="1164">
        <v>3411</v>
      </c>
      <c r="T344" s="1164">
        <v>3411</v>
      </c>
      <c r="U344" s="1164">
        <v>3411</v>
      </c>
      <c r="V344" s="1164">
        <v>3411</v>
      </c>
    </row>
    <row r="345" spans="1:22" x14ac:dyDescent="0.25">
      <c r="A345" s="1123">
        <v>4081800500</v>
      </c>
      <c r="B345" s="1123">
        <v>2</v>
      </c>
      <c r="C345" s="1123">
        <v>4</v>
      </c>
      <c r="D345" s="1124" t="s">
        <v>2211</v>
      </c>
      <c r="E345" s="1126" t="s">
        <v>2253</v>
      </c>
      <c r="F345" s="1125">
        <v>287</v>
      </c>
      <c r="G345" s="1126" t="s">
        <v>753</v>
      </c>
      <c r="H345" s="1125">
        <v>1</v>
      </c>
      <c r="I345" s="1175" t="s">
        <v>1305</v>
      </c>
      <c r="J345" s="1126">
        <v>1</v>
      </c>
      <c r="K345" s="1125">
        <v>24</v>
      </c>
      <c r="L345" s="1125">
        <v>1</v>
      </c>
      <c r="M345" s="1125">
        <v>4</v>
      </c>
      <c r="N345" s="1126" t="s">
        <v>1257</v>
      </c>
      <c r="O345" s="1125">
        <v>13</v>
      </c>
      <c r="P345" s="1164">
        <v>40000</v>
      </c>
      <c r="Q345" s="1164">
        <v>207255.18</v>
      </c>
      <c r="R345" s="1164">
        <v>247255.18</v>
      </c>
      <c r="S345" s="1164">
        <v>225969.76</v>
      </c>
      <c r="T345" s="1164">
        <v>225969.76</v>
      </c>
      <c r="U345" s="1164">
        <v>225969.76</v>
      </c>
      <c r="V345" s="1164">
        <v>225969.76</v>
      </c>
    </row>
    <row r="346" spans="1:22" x14ac:dyDescent="0.25">
      <c r="A346" s="1123">
        <v>4081800500</v>
      </c>
      <c r="B346" s="1123">
        <v>2</v>
      </c>
      <c r="C346" s="1123">
        <v>4</v>
      </c>
      <c r="D346" s="1124" t="s">
        <v>2211</v>
      </c>
      <c r="E346" s="1126" t="s">
        <v>2253</v>
      </c>
      <c r="F346" s="1125">
        <v>287</v>
      </c>
      <c r="G346" s="1126" t="s">
        <v>753</v>
      </c>
      <c r="H346" s="1125">
        <v>1</v>
      </c>
      <c r="I346" s="1175" t="s">
        <v>2206</v>
      </c>
      <c r="J346" s="1126">
        <v>1</v>
      </c>
      <c r="K346" s="1125">
        <v>24</v>
      </c>
      <c r="L346" s="1125">
        <v>1</v>
      </c>
      <c r="M346" s="1125">
        <v>4</v>
      </c>
      <c r="N346" s="1126" t="s">
        <v>1257</v>
      </c>
      <c r="O346" s="1125">
        <v>13</v>
      </c>
      <c r="P346" s="1164">
        <v>5000</v>
      </c>
      <c r="Q346" s="1164">
        <v>0</v>
      </c>
      <c r="R346" s="1164">
        <v>5000</v>
      </c>
      <c r="S346" s="1164">
        <v>2075.34</v>
      </c>
      <c r="T346" s="1164">
        <v>2075.34</v>
      </c>
      <c r="U346" s="1164">
        <v>2075.34</v>
      </c>
      <c r="V346" s="1164">
        <v>2075.34</v>
      </c>
    </row>
    <row r="347" spans="1:22" x14ac:dyDescent="0.25">
      <c r="A347" s="1123">
        <v>4081800500</v>
      </c>
      <c r="B347" s="1123">
        <v>2</v>
      </c>
      <c r="C347" s="1123">
        <v>4</v>
      </c>
      <c r="D347" s="1124" t="s">
        <v>2211</v>
      </c>
      <c r="E347" s="1126" t="s">
        <v>2253</v>
      </c>
      <c r="F347" s="1125">
        <v>287</v>
      </c>
      <c r="G347" s="1126" t="s">
        <v>753</v>
      </c>
      <c r="H347" s="1125">
        <v>1</v>
      </c>
      <c r="I347" s="1175" t="s">
        <v>2230</v>
      </c>
      <c r="J347" s="1126">
        <v>1</v>
      </c>
      <c r="K347" s="1125">
        <v>24</v>
      </c>
      <c r="L347" s="1125">
        <v>1</v>
      </c>
      <c r="M347" s="1125">
        <v>4</v>
      </c>
      <c r="N347" s="1126" t="s">
        <v>1257</v>
      </c>
      <c r="O347" s="1125">
        <v>13</v>
      </c>
      <c r="P347" s="1164">
        <v>0</v>
      </c>
      <c r="Q347" s="1164">
        <v>29464</v>
      </c>
      <c r="R347" s="1164">
        <v>29464</v>
      </c>
      <c r="S347" s="1164">
        <v>29464</v>
      </c>
      <c r="T347" s="1164">
        <v>29464</v>
      </c>
      <c r="U347" s="1164">
        <v>29464</v>
      </c>
      <c r="V347" s="1164">
        <v>29464</v>
      </c>
    </row>
    <row r="348" spans="1:22" x14ac:dyDescent="0.25">
      <c r="A348" s="1123">
        <v>4081800500</v>
      </c>
      <c r="B348" s="1123">
        <v>2</v>
      </c>
      <c r="C348" s="1123">
        <v>4</v>
      </c>
      <c r="D348" s="1124" t="s">
        <v>2211</v>
      </c>
      <c r="E348" s="1126" t="s">
        <v>2253</v>
      </c>
      <c r="F348" s="1125">
        <v>287</v>
      </c>
      <c r="G348" s="1126" t="s">
        <v>753</v>
      </c>
      <c r="H348" s="1125">
        <v>1</v>
      </c>
      <c r="I348" s="1175" t="s">
        <v>2285</v>
      </c>
      <c r="J348" s="1126">
        <v>1</v>
      </c>
      <c r="K348" s="1125">
        <v>24</v>
      </c>
      <c r="L348" s="1125">
        <v>1</v>
      </c>
      <c r="M348" s="1125">
        <v>4</v>
      </c>
      <c r="N348" s="1126" t="s">
        <v>1257</v>
      </c>
      <c r="O348" s="1125">
        <v>13</v>
      </c>
      <c r="P348" s="1164">
        <v>0</v>
      </c>
      <c r="Q348" s="1164">
        <v>1962</v>
      </c>
      <c r="R348" s="1164">
        <v>1962</v>
      </c>
      <c r="S348" s="1164">
        <v>1962</v>
      </c>
      <c r="T348" s="1164">
        <v>1962</v>
      </c>
      <c r="U348" s="1164">
        <v>1962</v>
      </c>
      <c r="V348" s="1164">
        <v>1962</v>
      </c>
    </row>
    <row r="349" spans="1:22" x14ac:dyDescent="0.25">
      <c r="A349" s="1123">
        <v>4081800500</v>
      </c>
      <c r="B349" s="1123">
        <v>2</v>
      </c>
      <c r="C349" s="1123">
        <v>4</v>
      </c>
      <c r="D349" s="1124" t="s">
        <v>2211</v>
      </c>
      <c r="E349" s="1126" t="s">
        <v>2253</v>
      </c>
      <c r="F349" s="1125">
        <v>287</v>
      </c>
      <c r="G349" s="1126" t="s">
        <v>753</v>
      </c>
      <c r="H349" s="1125">
        <v>1</v>
      </c>
      <c r="I349" s="1175" t="s">
        <v>1306</v>
      </c>
      <c r="J349" s="1126">
        <v>1</v>
      </c>
      <c r="K349" s="1125">
        <v>24</v>
      </c>
      <c r="L349" s="1125">
        <v>1</v>
      </c>
      <c r="M349" s="1125">
        <v>4</v>
      </c>
      <c r="N349" s="1126" t="s">
        <v>1257</v>
      </c>
      <c r="O349" s="1125">
        <v>13</v>
      </c>
      <c r="P349" s="1164">
        <v>30000</v>
      </c>
      <c r="Q349" s="1164">
        <v>141501.35</v>
      </c>
      <c r="R349" s="1164">
        <v>171501.35</v>
      </c>
      <c r="S349" s="1164">
        <v>171501.35</v>
      </c>
      <c r="T349" s="1164">
        <v>171501.35</v>
      </c>
      <c r="U349" s="1164">
        <v>171501.35</v>
      </c>
      <c r="V349" s="1164">
        <v>171501.35</v>
      </c>
    </row>
    <row r="350" spans="1:22" x14ac:dyDescent="0.25">
      <c r="A350" s="1123">
        <v>4081800500</v>
      </c>
      <c r="B350" s="1123">
        <v>2</v>
      </c>
      <c r="C350" s="1123">
        <v>4</v>
      </c>
      <c r="D350" s="1124" t="s">
        <v>2211</v>
      </c>
      <c r="E350" s="1126" t="s">
        <v>2253</v>
      </c>
      <c r="F350" s="1125">
        <v>287</v>
      </c>
      <c r="G350" s="1126" t="s">
        <v>753</v>
      </c>
      <c r="H350" s="1125">
        <v>1</v>
      </c>
      <c r="I350" s="1175" t="s">
        <v>1308</v>
      </c>
      <c r="J350" s="1126">
        <v>1</v>
      </c>
      <c r="K350" s="1125">
        <v>24</v>
      </c>
      <c r="L350" s="1125">
        <v>1</v>
      </c>
      <c r="M350" s="1125">
        <v>4</v>
      </c>
      <c r="N350" s="1126" t="s">
        <v>1257</v>
      </c>
      <c r="O350" s="1125">
        <v>13</v>
      </c>
      <c r="P350" s="1164">
        <v>0</v>
      </c>
      <c r="Q350" s="1164">
        <v>135.87</v>
      </c>
      <c r="R350" s="1164">
        <v>135.87</v>
      </c>
      <c r="S350" s="1164">
        <v>135.87</v>
      </c>
      <c r="T350" s="1164">
        <v>135.87</v>
      </c>
      <c r="U350" s="1164">
        <v>135.87</v>
      </c>
      <c r="V350" s="1164">
        <v>135.87</v>
      </c>
    </row>
    <row r="351" spans="1:22" x14ac:dyDescent="0.25">
      <c r="A351" s="1123">
        <v>4081800500</v>
      </c>
      <c r="B351" s="1123">
        <v>2</v>
      </c>
      <c r="C351" s="1123">
        <v>4</v>
      </c>
      <c r="D351" s="1124" t="s">
        <v>2211</v>
      </c>
      <c r="E351" s="1126" t="s">
        <v>2253</v>
      </c>
      <c r="F351" s="1125">
        <v>287</v>
      </c>
      <c r="G351" s="1126" t="s">
        <v>753</v>
      </c>
      <c r="H351" s="1125">
        <v>1</v>
      </c>
      <c r="I351" s="1175" t="s">
        <v>1309</v>
      </c>
      <c r="J351" s="1126">
        <v>1</v>
      </c>
      <c r="K351" s="1125">
        <v>24</v>
      </c>
      <c r="L351" s="1125">
        <v>1</v>
      </c>
      <c r="M351" s="1125">
        <v>4</v>
      </c>
      <c r="N351" s="1126" t="s">
        <v>1257</v>
      </c>
      <c r="O351" s="1125">
        <v>13</v>
      </c>
      <c r="P351" s="1164">
        <v>0</v>
      </c>
      <c r="Q351" s="1164">
        <v>11120</v>
      </c>
      <c r="R351" s="1164">
        <v>11120</v>
      </c>
      <c r="S351" s="1164">
        <v>11120</v>
      </c>
      <c r="T351" s="1164">
        <v>11120</v>
      </c>
      <c r="U351" s="1164">
        <v>11120</v>
      </c>
      <c r="V351" s="1164">
        <v>11120</v>
      </c>
    </row>
    <row r="352" spans="1:22" x14ac:dyDescent="0.25">
      <c r="A352" s="1123">
        <v>4081800500</v>
      </c>
      <c r="B352" s="1123">
        <v>2</v>
      </c>
      <c r="C352" s="1123">
        <v>4</v>
      </c>
      <c r="D352" s="1124" t="s">
        <v>2211</v>
      </c>
      <c r="E352" s="1126" t="s">
        <v>2253</v>
      </c>
      <c r="F352" s="1125">
        <v>287</v>
      </c>
      <c r="G352" s="1126" t="s">
        <v>753</v>
      </c>
      <c r="H352" s="1125">
        <v>1</v>
      </c>
      <c r="I352" s="1175" t="s">
        <v>2201</v>
      </c>
      <c r="J352" s="1126">
        <v>1</v>
      </c>
      <c r="K352" s="1125">
        <v>24</v>
      </c>
      <c r="L352" s="1125">
        <v>1</v>
      </c>
      <c r="M352" s="1125">
        <v>4</v>
      </c>
      <c r="N352" s="1126" t="s">
        <v>1257</v>
      </c>
      <c r="O352" s="1125">
        <v>13</v>
      </c>
      <c r="P352" s="1164">
        <v>0</v>
      </c>
      <c r="Q352" s="1164">
        <v>46014</v>
      </c>
      <c r="R352" s="1164">
        <v>46014</v>
      </c>
      <c r="S352" s="1164">
        <v>46014</v>
      </c>
      <c r="T352" s="1164">
        <v>46014</v>
      </c>
      <c r="U352" s="1164">
        <v>46014</v>
      </c>
      <c r="V352" s="1164">
        <v>46014</v>
      </c>
    </row>
    <row r="353" spans="1:22" x14ac:dyDescent="0.25">
      <c r="A353" s="1123">
        <v>4081800500</v>
      </c>
      <c r="B353" s="1123">
        <v>2</v>
      </c>
      <c r="C353" s="1123">
        <v>4</v>
      </c>
      <c r="D353" s="1124" t="s">
        <v>2211</v>
      </c>
      <c r="E353" s="1126" t="s">
        <v>2253</v>
      </c>
      <c r="F353" s="1125">
        <v>287</v>
      </c>
      <c r="G353" s="1126" t="s">
        <v>753</v>
      </c>
      <c r="H353" s="1125">
        <v>1</v>
      </c>
      <c r="I353" s="1175" t="s">
        <v>2213</v>
      </c>
      <c r="J353" s="1126">
        <v>1</v>
      </c>
      <c r="K353" s="1125">
        <v>24</v>
      </c>
      <c r="L353" s="1125">
        <v>1</v>
      </c>
      <c r="M353" s="1125">
        <v>4</v>
      </c>
      <c r="N353" s="1126" t="s">
        <v>1257</v>
      </c>
      <c r="O353" s="1125">
        <v>13</v>
      </c>
      <c r="P353" s="1164">
        <v>0</v>
      </c>
      <c r="Q353" s="1164">
        <v>127401.03</v>
      </c>
      <c r="R353" s="1164">
        <v>127401.03</v>
      </c>
      <c r="S353" s="1164">
        <v>127401.03</v>
      </c>
      <c r="T353" s="1164">
        <v>127401.03</v>
      </c>
      <c r="U353" s="1164">
        <v>127401.03</v>
      </c>
      <c r="V353" s="1164">
        <v>127401.03</v>
      </c>
    </row>
    <row r="354" spans="1:22" x14ac:dyDescent="0.25">
      <c r="A354" s="1123">
        <v>4081800500</v>
      </c>
      <c r="B354" s="1123">
        <v>2</v>
      </c>
      <c r="C354" s="1123">
        <v>4</v>
      </c>
      <c r="D354" s="1124" t="s">
        <v>2211</v>
      </c>
      <c r="E354" s="1126" t="s">
        <v>2253</v>
      </c>
      <c r="F354" s="1125">
        <v>287</v>
      </c>
      <c r="G354" s="1126" t="s">
        <v>753</v>
      </c>
      <c r="H354" s="1125">
        <v>1</v>
      </c>
      <c r="I354" s="1175" t="s">
        <v>1313</v>
      </c>
      <c r="J354" s="1126">
        <v>1</v>
      </c>
      <c r="K354" s="1125">
        <v>24</v>
      </c>
      <c r="L354" s="1125">
        <v>1</v>
      </c>
      <c r="M354" s="1125">
        <v>4</v>
      </c>
      <c r="N354" s="1126" t="s">
        <v>1257</v>
      </c>
      <c r="O354" s="1125">
        <v>13</v>
      </c>
      <c r="P354" s="1164">
        <v>0</v>
      </c>
      <c r="Q354" s="1164">
        <v>27480</v>
      </c>
      <c r="R354" s="1164">
        <v>27480</v>
      </c>
      <c r="S354" s="1164">
        <v>27480</v>
      </c>
      <c r="T354" s="1164">
        <v>27480</v>
      </c>
      <c r="U354" s="1164">
        <v>27480</v>
      </c>
      <c r="V354" s="1164">
        <v>27480</v>
      </c>
    </row>
    <row r="355" spans="1:22" x14ac:dyDescent="0.25">
      <c r="A355" s="1123">
        <v>4081800500</v>
      </c>
      <c r="B355" s="1123">
        <v>2</v>
      </c>
      <c r="C355" s="1123">
        <v>4</v>
      </c>
      <c r="D355" s="1124" t="s">
        <v>2211</v>
      </c>
      <c r="E355" s="1126" t="s">
        <v>2253</v>
      </c>
      <c r="F355" s="1125">
        <v>287</v>
      </c>
      <c r="G355" s="1126" t="s">
        <v>753</v>
      </c>
      <c r="H355" s="1125">
        <v>1</v>
      </c>
      <c r="I355" s="1175" t="s">
        <v>1314</v>
      </c>
      <c r="J355" s="1126">
        <v>1</v>
      </c>
      <c r="K355" s="1125">
        <v>24</v>
      </c>
      <c r="L355" s="1125">
        <v>1</v>
      </c>
      <c r="M355" s="1125">
        <v>4</v>
      </c>
      <c r="N355" s="1126" t="s">
        <v>1257</v>
      </c>
      <c r="O355" s="1125">
        <v>13</v>
      </c>
      <c r="P355" s="1164">
        <v>0</v>
      </c>
      <c r="Q355" s="1164">
        <v>203620.51</v>
      </c>
      <c r="R355" s="1164">
        <v>203620.51</v>
      </c>
      <c r="S355" s="1164">
        <v>0</v>
      </c>
      <c r="T355" s="1164">
        <v>0</v>
      </c>
      <c r="U355" s="1164">
        <v>0</v>
      </c>
      <c r="V355" s="1164">
        <v>0</v>
      </c>
    </row>
    <row r="356" spans="1:22" x14ac:dyDescent="0.25">
      <c r="A356" s="1123">
        <v>4081800500</v>
      </c>
      <c r="B356" s="1123">
        <v>2</v>
      </c>
      <c r="C356" s="1123">
        <v>4</v>
      </c>
      <c r="D356" s="1124" t="s">
        <v>2211</v>
      </c>
      <c r="E356" s="1126" t="s">
        <v>2253</v>
      </c>
      <c r="F356" s="1125">
        <v>287</v>
      </c>
      <c r="G356" s="1126" t="s">
        <v>753</v>
      </c>
      <c r="H356" s="1125">
        <v>1</v>
      </c>
      <c r="I356" s="1175" t="s">
        <v>2217</v>
      </c>
      <c r="J356" s="1126">
        <v>1</v>
      </c>
      <c r="K356" s="1125">
        <v>24</v>
      </c>
      <c r="L356" s="1125">
        <v>1</v>
      </c>
      <c r="M356" s="1125">
        <v>4</v>
      </c>
      <c r="N356" s="1126" t="s">
        <v>1257</v>
      </c>
      <c r="O356" s="1125">
        <v>13</v>
      </c>
      <c r="P356" s="1164">
        <v>0</v>
      </c>
      <c r="Q356" s="1164">
        <v>38856.6</v>
      </c>
      <c r="R356" s="1164">
        <v>38856.6</v>
      </c>
      <c r="S356" s="1164">
        <v>38856.6</v>
      </c>
      <c r="T356" s="1164">
        <v>38856.6</v>
      </c>
      <c r="U356" s="1164">
        <v>38856.6</v>
      </c>
      <c r="V356" s="1164">
        <v>38856.6</v>
      </c>
    </row>
    <row r="357" spans="1:22" x14ac:dyDescent="0.25">
      <c r="A357" s="1123">
        <v>4081800500</v>
      </c>
      <c r="B357" s="1123">
        <v>2</v>
      </c>
      <c r="C357" s="1123">
        <v>4</v>
      </c>
      <c r="D357" s="1124" t="s">
        <v>2211</v>
      </c>
      <c r="E357" s="1126" t="s">
        <v>2253</v>
      </c>
      <c r="F357" s="1125">
        <v>287</v>
      </c>
      <c r="G357" s="1126" t="s">
        <v>753</v>
      </c>
      <c r="H357" s="1125">
        <v>1</v>
      </c>
      <c r="I357" s="1175" t="s">
        <v>2267</v>
      </c>
      <c r="J357" s="1126">
        <v>1</v>
      </c>
      <c r="K357" s="1125">
        <v>24</v>
      </c>
      <c r="L357" s="1125">
        <v>1</v>
      </c>
      <c r="M357" s="1125">
        <v>4</v>
      </c>
      <c r="N357" s="1126" t="s">
        <v>1257</v>
      </c>
      <c r="O357" s="1125">
        <v>13</v>
      </c>
      <c r="P357" s="1164">
        <v>0</v>
      </c>
      <c r="Q357" s="1164">
        <v>67347.5</v>
      </c>
      <c r="R357" s="1164">
        <v>67347.5</v>
      </c>
      <c r="S357" s="1164">
        <v>67347.5</v>
      </c>
      <c r="T357" s="1164">
        <v>67347.5</v>
      </c>
      <c r="U357" s="1164">
        <v>67347.5</v>
      </c>
      <c r="V357" s="1164">
        <v>67347.5</v>
      </c>
    </row>
    <row r="358" spans="1:22" x14ac:dyDescent="0.25">
      <c r="P358" s="1191">
        <f>SUM(P4:P357)</f>
        <v>32253060.080000009</v>
      </c>
      <c r="Q358" s="1191">
        <f t="shared" ref="Q358:V358" si="0">SUM(Q4:Q357)</f>
        <v>4996155.3999999994</v>
      </c>
      <c r="R358" s="1191">
        <f t="shared" si="0"/>
        <v>37249215.479999982</v>
      </c>
      <c r="S358" s="1191">
        <f t="shared" si="0"/>
        <v>34881677.559999995</v>
      </c>
      <c r="T358" s="1191">
        <f t="shared" si="0"/>
        <v>34881677.559999995</v>
      </c>
      <c r="U358" s="1191">
        <f t="shared" si="0"/>
        <v>34881677.559999995</v>
      </c>
      <c r="V358" s="1191">
        <f t="shared" si="0"/>
        <v>33580086.640000001</v>
      </c>
    </row>
  </sheetData>
  <mergeCells count="4">
    <mergeCell ref="B1:H1"/>
    <mergeCell ref="I1:J1"/>
    <mergeCell ref="K1:O1"/>
    <mergeCell ref="P1:V1"/>
  </mergeCells>
  <pageMargins left="0.70866141732283472" right="0.70866141732283472" top="0.74803149606299213" bottom="0.74803149606299213" header="0.31496062992125984" footer="0.31496062992125984"/>
  <pageSetup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view="pageBreakPreview" topLeftCell="A19" zoomScaleNormal="100" zoomScaleSheetLayoutView="100" workbookViewId="0">
      <selection activeCell="F40" sqref="F40"/>
    </sheetView>
  </sheetViews>
  <sheetFormatPr baseColWidth="10" defaultRowHeight="15" x14ac:dyDescent="0.25"/>
  <cols>
    <col min="1" max="1" width="41.5703125" customWidth="1"/>
    <col min="2" max="2" width="19.42578125" customWidth="1"/>
    <col min="3" max="3" width="17.140625" customWidth="1"/>
    <col min="4" max="4" width="15.140625" customWidth="1"/>
    <col min="5" max="5" width="19" customWidth="1"/>
    <col min="6" max="6" width="14.42578125" customWidth="1"/>
  </cols>
  <sheetData>
    <row r="1" spans="1:6" x14ac:dyDescent="0.25">
      <c r="A1" s="1220" t="s">
        <v>1028</v>
      </c>
      <c r="B1" s="1221"/>
      <c r="C1" s="1221"/>
      <c r="D1" s="1221"/>
      <c r="E1" s="1221"/>
      <c r="F1" s="1222"/>
    </row>
    <row r="2" spans="1:6" x14ac:dyDescent="0.25">
      <c r="A2" s="1223" t="s">
        <v>246</v>
      </c>
      <c r="B2" s="1224"/>
      <c r="C2" s="1224"/>
      <c r="D2" s="1224"/>
      <c r="E2" s="1224"/>
      <c r="F2" s="1225"/>
    </row>
    <row r="3" spans="1:6" ht="15.75" thickBot="1" x14ac:dyDescent="0.3">
      <c r="A3" s="1226" t="str">
        <f>'CPCA-I-03'!A4:D4</f>
        <v>Del 01 de ENERO al 31 de DICIEMBRE de 2024</v>
      </c>
      <c r="B3" s="1227"/>
      <c r="C3" s="1227"/>
      <c r="D3" s="1227"/>
      <c r="E3" s="1227"/>
      <c r="F3" s="1228"/>
    </row>
    <row r="4" spans="1:6" ht="64.5" thickBot="1" x14ac:dyDescent="0.3">
      <c r="A4" s="810" t="s">
        <v>247</v>
      </c>
      <c r="B4" s="811" t="s">
        <v>248</v>
      </c>
      <c r="C4" s="811" t="s">
        <v>889</v>
      </c>
      <c r="D4" s="811" t="s">
        <v>249</v>
      </c>
      <c r="E4" s="811" t="s">
        <v>890</v>
      </c>
      <c r="F4" s="812" t="s">
        <v>250</v>
      </c>
    </row>
    <row r="5" spans="1:6" x14ac:dyDescent="0.25">
      <c r="A5" s="813"/>
      <c r="B5" s="814"/>
      <c r="C5" s="814"/>
      <c r="D5" s="814"/>
      <c r="E5" s="815"/>
      <c r="F5" s="815"/>
    </row>
    <row r="6" spans="1:6" ht="22.5" x14ac:dyDescent="0.25">
      <c r="A6" s="816" t="s">
        <v>2254</v>
      </c>
      <c r="B6" s="817">
        <f>B7+B8+B9</f>
        <v>195600</v>
      </c>
      <c r="C6" s="818"/>
      <c r="D6" s="818"/>
      <c r="E6" s="819"/>
      <c r="F6" s="820">
        <f>SUM(B6:E6)</f>
        <v>195600</v>
      </c>
    </row>
    <row r="7" spans="1:6" x14ac:dyDescent="0.25">
      <c r="A7" s="821" t="s">
        <v>67</v>
      </c>
      <c r="B7" s="822"/>
      <c r="C7" s="823"/>
      <c r="D7" s="823"/>
      <c r="E7" s="824"/>
      <c r="F7" s="820">
        <f t="shared" ref="F7:F40" si="0">SUM(B7:E7)</f>
        <v>0</v>
      </c>
    </row>
    <row r="8" spans="1:6" x14ac:dyDescent="0.25">
      <c r="A8" s="821" t="s">
        <v>68</v>
      </c>
      <c r="B8" s="822">
        <f>'CPCA-I-01'!$G$38</f>
        <v>195600</v>
      </c>
      <c r="C8" s="823"/>
      <c r="D8" s="823"/>
      <c r="E8" s="824"/>
      <c r="F8" s="820">
        <f t="shared" si="0"/>
        <v>195600</v>
      </c>
    </row>
    <row r="9" spans="1:6" x14ac:dyDescent="0.25">
      <c r="A9" s="821" t="s">
        <v>69</v>
      </c>
      <c r="B9" s="822"/>
      <c r="C9" s="823"/>
      <c r="D9" s="823"/>
      <c r="E9" s="824"/>
      <c r="F9" s="820">
        <f t="shared" si="0"/>
        <v>0</v>
      </c>
    </row>
    <row r="10" spans="1:6" x14ac:dyDescent="0.25">
      <c r="A10" s="816"/>
      <c r="B10" s="825"/>
      <c r="C10" s="825"/>
      <c r="D10" s="825"/>
      <c r="E10" s="826"/>
      <c r="F10" s="826"/>
    </row>
    <row r="11" spans="1:6" ht="22.5" x14ac:dyDescent="0.25">
      <c r="A11" s="816" t="s">
        <v>2255</v>
      </c>
      <c r="B11" s="827"/>
      <c r="C11" s="817">
        <f>C13+C14+C15+C16</f>
        <v>-5555301.0500000007</v>
      </c>
      <c r="D11" s="817">
        <f>D12</f>
        <v>1816577.86</v>
      </c>
      <c r="E11" s="828"/>
      <c r="F11" s="820">
        <f t="shared" si="0"/>
        <v>-3738723.1900000004</v>
      </c>
    </row>
    <row r="12" spans="1:6" x14ac:dyDescent="0.25">
      <c r="A12" s="821" t="s">
        <v>243</v>
      </c>
      <c r="B12" s="829"/>
      <c r="C12" s="829"/>
      <c r="D12" s="822">
        <f>'CPCA-I-01'!$G$41</f>
        <v>1816577.86</v>
      </c>
      <c r="E12" s="830"/>
      <c r="F12" s="820">
        <f t="shared" si="0"/>
        <v>1816577.86</v>
      </c>
    </row>
    <row r="13" spans="1:6" x14ac:dyDescent="0.25">
      <c r="A13" s="821" t="s">
        <v>72</v>
      </c>
      <c r="B13" s="829"/>
      <c r="C13" s="822">
        <f>'CPCA-I-01'!$G$42</f>
        <v>-3025874.45</v>
      </c>
      <c r="D13" s="829"/>
      <c r="E13" s="830"/>
      <c r="F13" s="820">
        <f t="shared" si="0"/>
        <v>-3025874.45</v>
      </c>
    </row>
    <row r="14" spans="1:6" x14ac:dyDescent="0.25">
      <c r="A14" s="821" t="s">
        <v>73</v>
      </c>
      <c r="B14" s="829"/>
      <c r="C14" s="822"/>
      <c r="D14" s="829"/>
      <c r="E14" s="830"/>
      <c r="F14" s="820">
        <f t="shared" si="0"/>
        <v>0</v>
      </c>
    </row>
    <row r="15" spans="1:6" x14ac:dyDescent="0.25">
      <c r="A15" s="821" t="s">
        <v>74</v>
      </c>
      <c r="B15" s="829"/>
      <c r="C15" s="822"/>
      <c r="D15" s="829"/>
      <c r="E15" s="830"/>
      <c r="F15" s="820">
        <f t="shared" si="0"/>
        <v>0</v>
      </c>
    </row>
    <row r="16" spans="1:6" x14ac:dyDescent="0.25">
      <c r="A16" s="821" t="s">
        <v>75</v>
      </c>
      <c r="B16" s="829"/>
      <c r="C16" s="822">
        <f>'CPCA-I-01'!$G$45</f>
        <v>-2529426.6</v>
      </c>
      <c r="D16" s="829"/>
      <c r="E16" s="830"/>
      <c r="F16" s="820">
        <f t="shared" si="0"/>
        <v>-2529426.6</v>
      </c>
    </row>
    <row r="17" spans="1:7" x14ac:dyDescent="0.25">
      <c r="A17" s="816"/>
      <c r="B17" s="825"/>
      <c r="C17" s="825"/>
      <c r="D17" s="825"/>
      <c r="E17" s="826"/>
      <c r="F17" s="826"/>
    </row>
    <row r="18" spans="1:7" ht="38.25" customHeight="1" x14ac:dyDescent="0.25">
      <c r="A18" s="816" t="s">
        <v>2256</v>
      </c>
      <c r="B18" s="829"/>
      <c r="C18" s="829"/>
      <c r="D18" s="829"/>
      <c r="E18" s="820">
        <f>E19+E20</f>
        <v>0</v>
      </c>
      <c r="F18" s="820">
        <f t="shared" si="0"/>
        <v>0</v>
      </c>
    </row>
    <row r="19" spans="1:7" x14ac:dyDescent="0.25">
      <c r="A19" s="821" t="s">
        <v>77</v>
      </c>
      <c r="B19" s="829"/>
      <c r="C19" s="829"/>
      <c r="D19" s="829"/>
      <c r="E19" s="831"/>
      <c r="F19" s="820">
        <f t="shared" si="0"/>
        <v>0</v>
      </c>
    </row>
    <row r="20" spans="1:7" x14ac:dyDescent="0.25">
      <c r="A20" s="821" t="s">
        <v>78</v>
      </c>
      <c r="B20" s="829"/>
      <c r="C20" s="829"/>
      <c r="D20" s="829"/>
      <c r="E20" s="831"/>
      <c r="F20" s="820">
        <f t="shared" si="0"/>
        <v>0</v>
      </c>
    </row>
    <row r="21" spans="1:7" x14ac:dyDescent="0.25">
      <c r="A21" s="821"/>
      <c r="B21" s="832"/>
      <c r="C21" s="832"/>
      <c r="D21" s="832"/>
      <c r="E21" s="833"/>
      <c r="F21" s="833"/>
    </row>
    <row r="22" spans="1:7" ht="28.5" customHeight="1" x14ac:dyDescent="0.25">
      <c r="A22" s="840" t="s">
        <v>2257</v>
      </c>
      <c r="B22" s="817">
        <f>B6</f>
        <v>195600</v>
      </c>
      <c r="C22" s="817">
        <f>C11</f>
        <v>-5555301.0500000007</v>
      </c>
      <c r="D22" s="817">
        <f>D11</f>
        <v>1816577.86</v>
      </c>
      <c r="E22" s="820">
        <f>E18</f>
        <v>0</v>
      </c>
      <c r="F22" s="820">
        <f t="shared" si="0"/>
        <v>-3543123.1900000004</v>
      </c>
      <c r="G22" t="str">
        <f>IF((F22-'CPCA-I-01'!G50)&gt;0.99,"ERROR: DEBERÁ SER IGUAL QUE TOTAL HACIENDA PÚBLICA/PATRIMONIO DEL FORMATO ETCA-I-01","")</f>
        <v/>
      </c>
    </row>
    <row r="23" spans="1:7" x14ac:dyDescent="0.25">
      <c r="A23" s="816"/>
      <c r="B23" s="825"/>
      <c r="C23" s="825"/>
      <c r="D23" s="825"/>
      <c r="E23" s="826"/>
      <c r="F23" s="826"/>
    </row>
    <row r="24" spans="1:7" ht="22.5" x14ac:dyDescent="0.25">
      <c r="A24" s="816" t="s">
        <v>2258</v>
      </c>
      <c r="B24" s="817">
        <f>B25+B26+B27</f>
        <v>0</v>
      </c>
      <c r="C24" s="827"/>
      <c r="D24" s="827"/>
      <c r="E24" s="828"/>
      <c r="F24" s="820">
        <f t="shared" si="0"/>
        <v>0</v>
      </c>
    </row>
    <row r="25" spans="1:7" x14ac:dyDescent="0.25">
      <c r="A25" s="821" t="s">
        <v>67</v>
      </c>
      <c r="B25" s="822"/>
      <c r="C25" s="829"/>
      <c r="D25" s="829"/>
      <c r="E25" s="830"/>
      <c r="F25" s="820">
        <f t="shared" si="0"/>
        <v>0</v>
      </c>
    </row>
    <row r="26" spans="1:7" x14ac:dyDescent="0.25">
      <c r="A26" s="821" t="s">
        <v>68</v>
      </c>
      <c r="B26" s="822"/>
      <c r="C26" s="829"/>
      <c r="D26" s="829"/>
      <c r="E26" s="830"/>
      <c r="F26" s="820">
        <f t="shared" si="0"/>
        <v>0</v>
      </c>
    </row>
    <row r="27" spans="1:7" x14ac:dyDescent="0.25">
      <c r="A27" s="821" t="s">
        <v>69</v>
      </c>
      <c r="B27" s="822"/>
      <c r="C27" s="829"/>
      <c r="D27" s="829"/>
      <c r="E27" s="830"/>
      <c r="F27" s="820">
        <f t="shared" si="0"/>
        <v>0</v>
      </c>
    </row>
    <row r="28" spans="1:7" x14ac:dyDescent="0.25">
      <c r="A28" s="816"/>
      <c r="B28" s="825"/>
      <c r="C28" s="825"/>
      <c r="D28" s="825"/>
      <c r="E28" s="826"/>
      <c r="F28" s="826"/>
    </row>
    <row r="29" spans="1:7" ht="22.5" x14ac:dyDescent="0.25">
      <c r="A29" s="816" t="s">
        <v>2259</v>
      </c>
      <c r="B29" s="827"/>
      <c r="C29" s="817">
        <f>C31</f>
        <v>1816577.86</v>
      </c>
      <c r="D29" s="817">
        <f>D30+D31+D32+D33+D34</f>
        <v>-1181419.8599999999</v>
      </c>
      <c r="E29" s="828"/>
      <c r="F29" s="820">
        <f t="shared" si="0"/>
        <v>635158.00000000023</v>
      </c>
    </row>
    <row r="30" spans="1:7" x14ac:dyDescent="0.25">
      <c r="A30" s="821" t="s">
        <v>243</v>
      </c>
      <c r="B30" s="829"/>
      <c r="C30" s="829"/>
      <c r="D30" s="822">
        <f>'CPCA-I-01'!F41</f>
        <v>2091712.01</v>
      </c>
      <c r="E30" s="830"/>
      <c r="F30" s="820">
        <f t="shared" si="0"/>
        <v>2091712.01</v>
      </c>
    </row>
    <row r="31" spans="1:7" x14ac:dyDescent="0.25">
      <c r="A31" s="821" t="s">
        <v>72</v>
      </c>
      <c r="B31" s="829"/>
      <c r="C31" s="822">
        <f>D31*-1</f>
        <v>1816577.86</v>
      </c>
      <c r="D31" s="822">
        <f>('CPCA-I-01'!F42-'CPCA-I-01'!G42)*-1</f>
        <v>-1816577.86</v>
      </c>
      <c r="E31" s="830"/>
      <c r="F31" s="820">
        <f t="shared" si="0"/>
        <v>0</v>
      </c>
    </row>
    <row r="32" spans="1:7" x14ac:dyDescent="0.25">
      <c r="A32" s="821" t="s">
        <v>73</v>
      </c>
      <c r="B32" s="829"/>
      <c r="C32" s="829"/>
      <c r="D32" s="822"/>
      <c r="E32" s="830"/>
      <c r="F32" s="820">
        <f t="shared" si="0"/>
        <v>0</v>
      </c>
    </row>
    <row r="33" spans="1:7" x14ac:dyDescent="0.25">
      <c r="A33" s="821" t="s">
        <v>74</v>
      </c>
      <c r="B33" s="829"/>
      <c r="C33" s="829"/>
      <c r="D33" s="822"/>
      <c r="E33" s="830"/>
      <c r="F33" s="820">
        <f t="shared" si="0"/>
        <v>0</v>
      </c>
    </row>
    <row r="34" spans="1:7" x14ac:dyDescent="0.25">
      <c r="A34" s="821" t="s">
        <v>75</v>
      </c>
      <c r="B34" s="827"/>
      <c r="C34" s="827"/>
      <c r="D34" s="822">
        <f>'CPCA-I-01'!F45-'CPCA-I-01'!G45</f>
        <v>-1456554.0099999998</v>
      </c>
      <c r="E34" s="828"/>
      <c r="F34" s="820">
        <f t="shared" si="0"/>
        <v>-1456554.0099999998</v>
      </c>
    </row>
    <row r="35" spans="1:7" x14ac:dyDescent="0.25">
      <c r="A35" s="821"/>
      <c r="B35" s="832"/>
      <c r="C35" s="832"/>
      <c r="D35" s="832"/>
      <c r="E35" s="833"/>
      <c r="F35" s="833"/>
    </row>
    <row r="36" spans="1:7" ht="33.75" x14ac:dyDescent="0.25">
      <c r="A36" s="816" t="s">
        <v>2260</v>
      </c>
      <c r="B36" s="829"/>
      <c r="C36" s="829"/>
      <c r="D36" s="829"/>
      <c r="E36" s="820">
        <f>E37+E38</f>
        <v>0</v>
      </c>
      <c r="F36" s="820">
        <f t="shared" si="0"/>
        <v>0</v>
      </c>
    </row>
    <row r="37" spans="1:7" x14ac:dyDescent="0.25">
      <c r="A37" s="821" t="s">
        <v>77</v>
      </c>
      <c r="B37" s="829"/>
      <c r="C37" s="829"/>
      <c r="D37" s="829"/>
      <c r="E37" s="831"/>
      <c r="F37" s="820">
        <f t="shared" si="0"/>
        <v>0</v>
      </c>
    </row>
    <row r="38" spans="1:7" x14ac:dyDescent="0.25">
      <c r="A38" s="821" t="s">
        <v>78</v>
      </c>
      <c r="B38" s="827"/>
      <c r="C38" s="827"/>
      <c r="D38" s="827"/>
      <c r="E38" s="831"/>
      <c r="F38" s="820">
        <f t="shared" si="0"/>
        <v>0</v>
      </c>
    </row>
    <row r="39" spans="1:7" ht="15.75" thickBot="1" x14ac:dyDescent="0.3">
      <c r="A39" s="834"/>
      <c r="B39" s="835"/>
      <c r="C39" s="835"/>
      <c r="D39" s="835"/>
      <c r="E39" s="836"/>
      <c r="F39" s="836"/>
    </row>
    <row r="40" spans="1:7" ht="20.25" customHeight="1" thickBot="1" x14ac:dyDescent="0.3">
      <c r="A40" s="839" t="s">
        <v>2257</v>
      </c>
      <c r="B40" s="837">
        <f>B22+B24</f>
        <v>195600</v>
      </c>
      <c r="C40" s="837">
        <f>C22+C29</f>
        <v>-3738723.1900000004</v>
      </c>
      <c r="D40" s="837">
        <f>D22+D29</f>
        <v>635158.00000000023</v>
      </c>
      <c r="E40" s="838">
        <f>E22+E36</f>
        <v>0</v>
      </c>
      <c r="F40" s="838">
        <f t="shared" si="0"/>
        <v>-2907965.1900000004</v>
      </c>
      <c r="G40" t="str">
        <f>IF((F40-'CPCA-I-01'!F50)&gt;0.99,"ERROR: DEBERÁ SER IGUAL QUE TOTAL HACIENDA PÚBLICA/PATRIMONIO DEL FORMATO ETCA-I-01","")</f>
        <v/>
      </c>
    </row>
    <row r="41" spans="1:7" ht="16.5" x14ac:dyDescent="0.3">
      <c r="A41" s="37" t="s">
        <v>81</v>
      </c>
      <c r="F41" s="1006"/>
    </row>
  </sheetData>
  <sheetProtection formatColumns="0" formatRows="0"/>
  <mergeCells count="3">
    <mergeCell ref="A1:F1"/>
    <mergeCell ref="A2:F2"/>
    <mergeCell ref="A3:F3"/>
  </mergeCells>
  <printOptions horizontalCentered="1"/>
  <pageMargins left="0.70866141732283472" right="0.70866141732283472" top="0.94488188976377963" bottom="0.74803149606299213" header="0.31496062992125984" footer="0.31496062992125984"/>
  <pageSetup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view="pageBreakPreview" zoomScale="90" zoomScaleNormal="100" zoomScaleSheetLayoutView="90" workbookViewId="0">
      <selection activeCell="C57" sqref="C57"/>
    </sheetView>
  </sheetViews>
  <sheetFormatPr baseColWidth="10" defaultColWidth="11.28515625" defaultRowHeight="16.5" x14ac:dyDescent="0.3"/>
  <cols>
    <col min="1" max="1" width="80.85546875" style="111" bestFit="1" customWidth="1"/>
    <col min="2" max="3" width="17" style="111" customWidth="1"/>
    <col min="4" max="16384" width="11.28515625" style="111"/>
  </cols>
  <sheetData>
    <row r="1" spans="1:4" x14ac:dyDescent="0.3">
      <c r="A1" s="1214" t="str">
        <f>'CPCA-I-01'!A1:G1</f>
        <v>RADIO SONORA</v>
      </c>
      <c r="B1" s="1214"/>
      <c r="C1" s="1214"/>
    </row>
    <row r="2" spans="1:4" s="94" customFormat="1" ht="15.75" x14ac:dyDescent="0.25">
      <c r="A2" s="1208" t="s">
        <v>3</v>
      </c>
      <c r="B2" s="1208"/>
      <c r="C2" s="1208"/>
    </row>
    <row r="3" spans="1:4" s="94" customFormat="1" ht="15.75" x14ac:dyDescent="0.25">
      <c r="A3" s="1214"/>
      <c r="B3" s="1214"/>
      <c r="C3" s="1214"/>
    </row>
    <row r="4" spans="1:4" s="94" customFormat="1" x14ac:dyDescent="0.25">
      <c r="A4" s="1229" t="str">
        <f>'CPCA-I-03'!A4:D4</f>
        <v>Del 01 de ENERO al 31 de DICIEMBRE de 2024</v>
      </c>
      <c r="B4" s="1229"/>
      <c r="C4" s="1229"/>
    </row>
    <row r="5" spans="1:4" s="95" customFormat="1" ht="17.25" thickBot="1" x14ac:dyDescent="0.35">
      <c r="A5" s="40" t="s">
        <v>888</v>
      </c>
      <c r="B5" s="38"/>
      <c r="C5" s="41"/>
    </row>
    <row r="6" spans="1:4" ht="30" customHeight="1" thickBot="1" x14ac:dyDescent="0.35">
      <c r="A6" s="113"/>
      <c r="B6" s="114" t="s">
        <v>251</v>
      </c>
      <c r="C6" s="115" t="s">
        <v>252</v>
      </c>
    </row>
    <row r="7" spans="1:4" ht="17.25" thickTop="1" x14ac:dyDescent="0.3">
      <c r="A7" s="509" t="s">
        <v>253</v>
      </c>
      <c r="B7" s="510">
        <f>B8+B17</f>
        <v>0</v>
      </c>
      <c r="C7" s="511">
        <f>C8+C17</f>
        <v>7642785.25</v>
      </c>
    </row>
    <row r="8" spans="1:4" x14ac:dyDescent="0.3">
      <c r="A8" s="512" t="s">
        <v>25</v>
      </c>
      <c r="B8" s="513">
        <f>SUM(B9:B15)</f>
        <v>0</v>
      </c>
      <c r="C8" s="514">
        <f>SUM(C9:C15)</f>
        <v>7295495.3499999996</v>
      </c>
    </row>
    <row r="9" spans="1:4" s="112" customFormat="1" ht="13.5" x14ac:dyDescent="0.25">
      <c r="A9" s="515" t="s">
        <v>27</v>
      </c>
      <c r="B9" s="516">
        <v>0</v>
      </c>
      <c r="C9" s="517">
        <v>995321.1</v>
      </c>
      <c r="D9" s="418"/>
    </row>
    <row r="10" spans="1:4" s="112" customFormat="1" ht="13.5" x14ac:dyDescent="0.25">
      <c r="A10" s="515" t="s">
        <v>29</v>
      </c>
      <c r="B10" s="516">
        <v>0</v>
      </c>
      <c r="C10" s="517">
        <v>90289.83</v>
      </c>
    </row>
    <row r="11" spans="1:4" s="112" customFormat="1" ht="13.5" x14ac:dyDescent="0.25">
      <c r="A11" s="515" t="s">
        <v>31</v>
      </c>
      <c r="B11" s="516">
        <v>0</v>
      </c>
      <c r="C11" s="517">
        <v>6209884.4199999999</v>
      </c>
    </row>
    <row r="12" spans="1:4" s="112" customFormat="1" ht="13.5" x14ac:dyDescent="0.25">
      <c r="A12" s="515" t="s">
        <v>254</v>
      </c>
      <c r="B12" s="516"/>
      <c r="C12" s="517"/>
    </row>
    <row r="13" spans="1:4" s="112" customFormat="1" ht="13.5" x14ac:dyDescent="0.25">
      <c r="A13" s="515" t="s">
        <v>35</v>
      </c>
      <c r="B13" s="516"/>
      <c r="C13" s="517"/>
    </row>
    <row r="14" spans="1:4" s="112" customFormat="1" ht="13.5" x14ac:dyDescent="0.25">
      <c r="A14" s="515" t="s">
        <v>37</v>
      </c>
      <c r="B14" s="516"/>
      <c r="C14" s="517"/>
    </row>
    <row r="15" spans="1:4" s="112" customFormat="1" ht="13.5" x14ac:dyDescent="0.25">
      <c r="A15" s="515" t="s">
        <v>39</v>
      </c>
      <c r="B15" s="516"/>
      <c r="C15" s="517"/>
    </row>
    <row r="16" spans="1:4" ht="5.25" customHeight="1" x14ac:dyDescent="0.3">
      <c r="A16" s="509"/>
      <c r="B16" s="518"/>
      <c r="C16" s="519"/>
    </row>
    <row r="17" spans="1:3" x14ac:dyDescent="0.3">
      <c r="A17" s="512" t="s">
        <v>44</v>
      </c>
      <c r="B17" s="513">
        <f>SUM(B18:B26)</f>
        <v>0</v>
      </c>
      <c r="C17" s="514">
        <f>SUM(C18:C26)</f>
        <v>347289.9</v>
      </c>
    </row>
    <row r="18" spans="1:3" s="112" customFormat="1" ht="13.5" x14ac:dyDescent="0.25">
      <c r="A18" s="515" t="s">
        <v>46</v>
      </c>
      <c r="B18" s="516"/>
      <c r="C18" s="517"/>
    </row>
    <row r="19" spans="1:3" s="112" customFormat="1" ht="13.5" x14ac:dyDescent="0.25">
      <c r="A19" s="515" t="s">
        <v>48</v>
      </c>
      <c r="B19" s="516"/>
      <c r="C19" s="517"/>
    </row>
    <row r="20" spans="1:3" s="112" customFormat="1" ht="13.5" x14ac:dyDescent="0.25">
      <c r="A20" s="515" t="s">
        <v>50</v>
      </c>
      <c r="B20" s="516"/>
      <c r="C20" s="517"/>
    </row>
    <row r="21" spans="1:3" s="112" customFormat="1" ht="13.5" x14ac:dyDescent="0.25">
      <c r="A21" s="515" t="s">
        <v>52</v>
      </c>
      <c r="B21" s="516">
        <v>0</v>
      </c>
      <c r="C21" s="517">
        <v>347289.9</v>
      </c>
    </row>
    <row r="22" spans="1:3" s="112" customFormat="1" ht="13.5" x14ac:dyDescent="0.25">
      <c r="A22" s="515" t="s">
        <v>54</v>
      </c>
      <c r="B22" s="516"/>
      <c r="C22" s="517"/>
    </row>
    <row r="23" spans="1:3" s="112" customFormat="1" ht="13.5" x14ac:dyDescent="0.25">
      <c r="A23" s="515" t="s">
        <v>56</v>
      </c>
      <c r="B23" s="516">
        <v>0</v>
      </c>
      <c r="C23" s="517">
        <v>0</v>
      </c>
    </row>
    <row r="24" spans="1:3" s="112" customFormat="1" ht="13.5" x14ac:dyDescent="0.25">
      <c r="A24" s="515" t="s">
        <v>58</v>
      </c>
      <c r="B24" s="516"/>
      <c r="C24" s="517"/>
    </row>
    <row r="25" spans="1:3" s="112" customFormat="1" ht="13.5" x14ac:dyDescent="0.25">
      <c r="A25" s="515" t="s">
        <v>59</v>
      </c>
      <c r="B25" s="516"/>
      <c r="C25" s="517"/>
    </row>
    <row r="26" spans="1:3" s="112" customFormat="1" ht="13.5" x14ac:dyDescent="0.25">
      <c r="A26" s="515" t="s">
        <v>60</v>
      </c>
      <c r="B26" s="516"/>
      <c r="C26" s="517"/>
    </row>
    <row r="27" spans="1:3" ht="6.75" customHeight="1" x14ac:dyDescent="0.3">
      <c r="A27" s="520"/>
      <c r="B27" s="518"/>
      <c r="C27" s="519"/>
    </row>
    <row r="28" spans="1:3" x14ac:dyDescent="0.3">
      <c r="A28" s="509" t="s">
        <v>255</v>
      </c>
      <c r="B28" s="510">
        <f>B29+B39</f>
        <v>7007627.25</v>
      </c>
      <c r="C28" s="511">
        <f>C29+C39</f>
        <v>0</v>
      </c>
    </row>
    <row r="29" spans="1:3" x14ac:dyDescent="0.3">
      <c r="A29" s="512" t="s">
        <v>26</v>
      </c>
      <c r="B29" s="513">
        <f>SUM(B30:B37)</f>
        <v>7007627.25</v>
      </c>
      <c r="C29" s="514">
        <f>SUM(C30:C37)</f>
        <v>0</v>
      </c>
    </row>
    <row r="30" spans="1:3" s="112" customFormat="1" ht="13.5" x14ac:dyDescent="0.25">
      <c r="A30" s="515" t="s">
        <v>28</v>
      </c>
      <c r="B30" s="516">
        <v>7007627.25</v>
      </c>
      <c r="C30" s="517">
        <v>0</v>
      </c>
    </row>
    <row r="31" spans="1:3" s="112" customFormat="1" ht="13.5" x14ac:dyDescent="0.25">
      <c r="A31" s="515" t="s">
        <v>30</v>
      </c>
      <c r="B31" s="516"/>
      <c r="C31" s="517"/>
    </row>
    <row r="32" spans="1:3" s="112" customFormat="1" ht="13.5" x14ac:dyDescent="0.25">
      <c r="A32" s="515" t="s">
        <v>32</v>
      </c>
      <c r="B32" s="516"/>
      <c r="C32" s="517"/>
    </row>
    <row r="33" spans="1:3" s="112" customFormat="1" ht="13.5" x14ac:dyDescent="0.25">
      <c r="A33" s="515" t="s">
        <v>34</v>
      </c>
      <c r="B33" s="516"/>
      <c r="C33" s="517"/>
    </row>
    <row r="34" spans="1:3" s="112" customFormat="1" ht="13.5" x14ac:dyDescent="0.25">
      <c r="A34" s="515" t="s">
        <v>36</v>
      </c>
      <c r="B34" s="516"/>
      <c r="C34" s="517"/>
    </row>
    <row r="35" spans="1:3" s="112" customFormat="1" ht="13.5" x14ac:dyDescent="0.25">
      <c r="A35" s="515" t="s">
        <v>38</v>
      </c>
      <c r="B35" s="516"/>
      <c r="C35" s="517"/>
    </row>
    <row r="36" spans="1:3" s="112" customFormat="1" ht="13.5" x14ac:dyDescent="0.25">
      <c r="A36" s="515" t="s">
        <v>40</v>
      </c>
      <c r="B36" s="516"/>
      <c r="C36" s="517"/>
    </row>
    <row r="37" spans="1:3" s="112" customFormat="1" ht="13.5" x14ac:dyDescent="0.25">
      <c r="A37" s="515" t="s">
        <v>41</v>
      </c>
      <c r="B37" s="516"/>
      <c r="C37" s="517">
        <v>0</v>
      </c>
    </row>
    <row r="38" spans="1:3" ht="6" customHeight="1" x14ac:dyDescent="0.3">
      <c r="A38" s="509"/>
      <c r="B38" s="521"/>
      <c r="C38" s="522"/>
    </row>
    <row r="39" spans="1:3" x14ac:dyDescent="0.3">
      <c r="A39" s="512" t="s">
        <v>45</v>
      </c>
      <c r="B39" s="513">
        <f>SUM(B40:B45)</f>
        <v>0</v>
      </c>
      <c r="C39" s="514">
        <f>SUM(C40:C45)</f>
        <v>0</v>
      </c>
    </row>
    <row r="40" spans="1:3" s="112" customFormat="1" ht="13.5" x14ac:dyDescent="0.25">
      <c r="A40" s="515" t="s">
        <v>47</v>
      </c>
      <c r="B40" s="516"/>
      <c r="C40" s="517"/>
    </row>
    <row r="41" spans="1:3" s="112" customFormat="1" ht="13.5" x14ac:dyDescent="0.25">
      <c r="A41" s="515" t="s">
        <v>49</v>
      </c>
      <c r="B41" s="516"/>
      <c r="C41" s="517"/>
    </row>
    <row r="42" spans="1:3" s="112" customFormat="1" ht="13.5" x14ac:dyDescent="0.25">
      <c r="A42" s="515" t="s">
        <v>51</v>
      </c>
      <c r="B42" s="516"/>
      <c r="C42" s="517"/>
    </row>
    <row r="43" spans="1:3" s="112" customFormat="1" ht="13.5" x14ac:dyDescent="0.25">
      <c r="A43" s="515" t="s">
        <v>53</v>
      </c>
      <c r="B43" s="516"/>
      <c r="C43" s="517"/>
    </row>
    <row r="44" spans="1:3" s="112" customFormat="1" ht="13.5" x14ac:dyDescent="0.25">
      <c r="A44" s="515" t="s">
        <v>55</v>
      </c>
      <c r="B44" s="516"/>
      <c r="C44" s="517"/>
    </row>
    <row r="45" spans="1:3" s="112" customFormat="1" ht="13.5" x14ac:dyDescent="0.25">
      <c r="A45" s="515" t="s">
        <v>57</v>
      </c>
      <c r="B45" s="516"/>
      <c r="C45" s="517"/>
    </row>
    <row r="46" spans="1:3" x14ac:dyDescent="0.3">
      <c r="A46" s="523"/>
      <c r="B46" s="518"/>
      <c r="C46" s="519"/>
    </row>
    <row r="47" spans="1:3" x14ac:dyDescent="0.3">
      <c r="A47" s="509" t="s">
        <v>256</v>
      </c>
      <c r="B47" s="510">
        <f>B48+B53</f>
        <v>2091712.0100000002</v>
      </c>
      <c r="C47" s="511">
        <f>C48+C53</f>
        <v>1456554.01</v>
      </c>
    </row>
    <row r="48" spans="1:3" x14ac:dyDescent="0.3">
      <c r="A48" s="512" t="s">
        <v>66</v>
      </c>
      <c r="B48" s="513">
        <f>SUM(B49:B51)</f>
        <v>0</v>
      </c>
      <c r="C48" s="514">
        <f>SUM(C49:C51)</f>
        <v>0</v>
      </c>
    </row>
    <row r="49" spans="1:3" s="112" customFormat="1" ht="13.5" x14ac:dyDescent="0.25">
      <c r="A49" s="515" t="s">
        <v>67</v>
      </c>
      <c r="B49" s="516"/>
      <c r="C49" s="517"/>
    </row>
    <row r="50" spans="1:3" s="112" customFormat="1" ht="13.5" x14ac:dyDescent="0.25">
      <c r="A50" s="515" t="s">
        <v>68</v>
      </c>
      <c r="B50" s="516"/>
      <c r="C50" s="517"/>
    </row>
    <row r="51" spans="1:3" s="112" customFormat="1" ht="13.5" x14ac:dyDescent="0.25">
      <c r="A51" s="515" t="s">
        <v>69</v>
      </c>
      <c r="B51" s="516"/>
      <c r="C51" s="517"/>
    </row>
    <row r="52" spans="1:3" ht="6" customHeight="1" x14ac:dyDescent="0.3">
      <c r="A52" s="512"/>
      <c r="B52" s="521"/>
      <c r="C52" s="522"/>
    </row>
    <row r="53" spans="1:3" ht="15.75" customHeight="1" x14ac:dyDescent="0.3">
      <c r="A53" s="512" t="s">
        <v>70</v>
      </c>
      <c r="B53" s="513">
        <f>SUM(B54:B58)</f>
        <v>2091712.0100000002</v>
      </c>
      <c r="C53" s="514">
        <f>SUM(C54:C58)</f>
        <v>1456554.01</v>
      </c>
    </row>
    <row r="54" spans="1:3" s="112" customFormat="1" ht="13.5" x14ac:dyDescent="0.25">
      <c r="A54" s="515" t="s">
        <v>71</v>
      </c>
      <c r="B54" s="516">
        <v>275134.15000000002</v>
      </c>
      <c r="C54" s="517">
        <v>0</v>
      </c>
    </row>
    <row r="55" spans="1:3" s="112" customFormat="1" ht="13.5" x14ac:dyDescent="0.25">
      <c r="A55" s="515" t="s">
        <v>72</v>
      </c>
      <c r="B55" s="516">
        <v>1816577.86</v>
      </c>
      <c r="C55" s="517">
        <v>0</v>
      </c>
    </row>
    <row r="56" spans="1:3" s="112" customFormat="1" ht="13.5" x14ac:dyDescent="0.25">
      <c r="A56" s="515" t="s">
        <v>73</v>
      </c>
      <c r="B56" s="516"/>
      <c r="C56" s="517"/>
    </row>
    <row r="57" spans="1:3" s="112" customFormat="1" ht="13.5" x14ac:dyDescent="0.25">
      <c r="A57" s="515" t="s">
        <v>74</v>
      </c>
      <c r="B57" s="516"/>
      <c r="C57" s="517"/>
    </row>
    <row r="58" spans="1:3" s="112" customFormat="1" ht="13.5" x14ac:dyDescent="0.25">
      <c r="A58" s="515" t="s">
        <v>75</v>
      </c>
      <c r="B58" s="516">
        <v>0</v>
      </c>
      <c r="C58" s="517">
        <v>1456554.01</v>
      </c>
    </row>
    <row r="59" spans="1:3" ht="7.5" customHeight="1" x14ac:dyDescent="0.3">
      <c r="A59" s="512"/>
      <c r="B59" s="518"/>
      <c r="C59" s="519"/>
    </row>
    <row r="60" spans="1:3" x14ac:dyDescent="0.3">
      <c r="A60" s="512" t="s">
        <v>257</v>
      </c>
      <c r="B60" s="513">
        <f>SUM(B61:B62)</f>
        <v>0</v>
      </c>
      <c r="C60" s="514">
        <f>SUM(C61:C62)</f>
        <v>0</v>
      </c>
    </row>
    <row r="61" spans="1:3" s="112" customFormat="1" ht="13.5" x14ac:dyDescent="0.25">
      <c r="A61" s="515" t="s">
        <v>77</v>
      </c>
      <c r="B61" s="516"/>
      <c r="C61" s="516"/>
    </row>
    <row r="62" spans="1:3" s="112" customFormat="1" ht="14.25" thickBot="1" x14ac:dyDescent="0.3">
      <c r="A62" s="524" t="s">
        <v>78</v>
      </c>
      <c r="B62" s="525"/>
      <c r="C62" s="526"/>
    </row>
    <row r="63" spans="1:3" s="112" customFormat="1" ht="13.5" x14ac:dyDescent="0.25">
      <c r="A63" s="417" t="s">
        <v>244</v>
      </c>
      <c r="B63" s="516"/>
      <c r="C63" s="516"/>
    </row>
    <row r="64" spans="1:3" s="112" customFormat="1" ht="13.5" x14ac:dyDescent="0.25">
      <c r="A64" s="417"/>
      <c r="B64" s="516"/>
      <c r="C64" s="516"/>
    </row>
    <row r="65" spans="1:3" s="112" customFormat="1" ht="13.5" x14ac:dyDescent="0.25">
      <c r="A65" s="417"/>
      <c r="B65" s="516"/>
      <c r="C65" s="516"/>
    </row>
    <row r="66" spans="1:3" s="112" customFormat="1" ht="13.5" x14ac:dyDescent="0.25">
      <c r="A66" s="527"/>
      <c r="B66" s="516"/>
      <c r="C66" s="516"/>
    </row>
    <row r="67" spans="1:3" s="112" customFormat="1" ht="13.5" x14ac:dyDescent="0.25">
      <c r="A67" s="527" t="s">
        <v>245</v>
      </c>
      <c r="B67" s="516"/>
      <c r="C67" s="516"/>
    </row>
    <row r="68" spans="1:3" s="112" customFormat="1" ht="13.5" x14ac:dyDescent="0.25">
      <c r="A68" s="527" t="s">
        <v>245</v>
      </c>
      <c r="B68" s="516"/>
      <c r="C68" s="516"/>
    </row>
    <row r="69" spans="1:3" x14ac:dyDescent="0.3">
      <c r="A69" s="417" t="s">
        <v>245</v>
      </c>
      <c r="B69" s="528"/>
      <c r="C69" s="528"/>
    </row>
  </sheetData>
  <sheetProtection formatColumns="0" formatRows="0"/>
  <mergeCells count="4">
    <mergeCell ref="A1:C1"/>
    <mergeCell ref="A2:C2"/>
    <mergeCell ref="A3:C3"/>
    <mergeCell ref="A4:C4"/>
  </mergeCells>
  <printOptions horizontalCentered="1"/>
  <pageMargins left="0.70866141732283472" right="0.70866141732283472" top="0.74803149606299213" bottom="0.74803149606299213" header="0.31496062992125984" footer="0.31496062992125984"/>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E71"/>
  <sheetViews>
    <sheetView view="pageBreakPreview" zoomScale="120" zoomScaleNormal="100" zoomScaleSheetLayoutView="120" workbookViewId="0">
      <selection activeCell="A5" sqref="A5:B5"/>
    </sheetView>
  </sheetViews>
  <sheetFormatPr baseColWidth="10" defaultColWidth="11.28515625" defaultRowHeight="16.5" x14ac:dyDescent="0.3"/>
  <cols>
    <col min="1" max="1" width="1.5703125" style="37" customWidth="1"/>
    <col min="2" max="2" width="70.85546875" style="37" customWidth="1"/>
    <col min="3" max="4" width="12.7109375" style="37" customWidth="1"/>
    <col min="5" max="16384" width="11.28515625" style="37"/>
  </cols>
  <sheetData>
    <row r="1" spans="1:4" x14ac:dyDescent="0.3">
      <c r="A1" s="1214" t="str">
        <f>'CPCA-I-01'!A1</f>
        <v>RADIO SONORA</v>
      </c>
      <c r="B1" s="1214"/>
      <c r="C1" s="1214"/>
      <c r="D1" s="1214"/>
    </row>
    <row r="2" spans="1:4" x14ac:dyDescent="0.3">
      <c r="A2" s="1208" t="s">
        <v>4</v>
      </c>
      <c r="B2" s="1208"/>
      <c r="C2" s="1208"/>
      <c r="D2" s="1208"/>
    </row>
    <row r="3" spans="1:4" x14ac:dyDescent="0.3">
      <c r="A3" s="1214"/>
      <c r="B3" s="1214"/>
      <c r="C3" s="1214"/>
      <c r="D3" s="1214"/>
    </row>
    <row r="4" spans="1:4" x14ac:dyDescent="0.3">
      <c r="A4" s="1229" t="s">
        <v>2274</v>
      </c>
      <c r="B4" s="1229"/>
      <c r="C4" s="1229"/>
      <c r="D4" s="1229"/>
    </row>
    <row r="5" spans="1:4" ht="17.25" thickBot="1" x14ac:dyDescent="0.35">
      <c r="A5" s="1207" t="s">
        <v>258</v>
      </c>
      <c r="B5" s="1207"/>
      <c r="C5" s="38"/>
      <c r="D5" s="36"/>
    </row>
    <row r="6" spans="1:4" ht="23.25" customHeight="1" thickBot="1" x14ac:dyDescent="0.35">
      <c r="A6" s="1232" t="s">
        <v>247</v>
      </c>
      <c r="B6" s="1233"/>
      <c r="C6" s="150">
        <v>2024</v>
      </c>
      <c r="D6" s="151">
        <v>2023</v>
      </c>
    </row>
    <row r="7" spans="1:4" s="117" customFormat="1" ht="12" customHeight="1" thickTop="1" x14ac:dyDescent="0.25">
      <c r="A7" s="1230" t="s">
        <v>259</v>
      </c>
      <c r="B7" s="1231"/>
      <c r="C7" s="1231"/>
      <c r="D7" s="116"/>
    </row>
    <row r="8" spans="1:4" s="117" customFormat="1" ht="12.75" customHeight="1" x14ac:dyDescent="0.25">
      <c r="A8" s="118"/>
      <c r="B8" s="119" t="s">
        <v>251</v>
      </c>
      <c r="C8" s="134">
        <f>SUM(C9:C18)</f>
        <v>36626099.670000002</v>
      </c>
      <c r="D8" s="135">
        <f>SUM(D9:D18)</f>
        <v>33614019.909999996</v>
      </c>
    </row>
    <row r="9" spans="1:4" s="121" customFormat="1" ht="11.1" customHeight="1" x14ac:dyDescent="0.25">
      <c r="A9" s="120"/>
      <c r="B9" s="132" t="s">
        <v>199</v>
      </c>
      <c r="C9" s="136"/>
      <c r="D9" s="137"/>
    </row>
    <row r="10" spans="1:4" s="121" customFormat="1" ht="11.1" customHeight="1" x14ac:dyDescent="0.25">
      <c r="A10" s="120"/>
      <c r="B10" s="132" t="s">
        <v>200</v>
      </c>
      <c r="C10" s="136"/>
      <c r="D10" s="137"/>
    </row>
    <row r="11" spans="1:4" s="121" customFormat="1" ht="11.1" customHeight="1" x14ac:dyDescent="0.25">
      <c r="A11" s="120"/>
      <c r="B11" s="132" t="s">
        <v>260</v>
      </c>
      <c r="C11" s="136"/>
      <c r="D11" s="137"/>
    </row>
    <row r="12" spans="1:4" s="121" customFormat="1" ht="11.1" customHeight="1" x14ac:dyDescent="0.25">
      <c r="A12" s="120"/>
      <c r="B12" s="132" t="s">
        <v>202</v>
      </c>
      <c r="C12" s="136"/>
      <c r="D12" s="137"/>
    </row>
    <row r="13" spans="1:4" s="121" customFormat="1" ht="11.1" customHeight="1" x14ac:dyDescent="0.25">
      <c r="A13" s="120"/>
      <c r="B13" s="132" t="s">
        <v>384</v>
      </c>
      <c r="C13" s="136"/>
      <c r="D13" s="137"/>
    </row>
    <row r="14" spans="1:4" s="121" customFormat="1" ht="11.1" customHeight="1" x14ac:dyDescent="0.25">
      <c r="A14" s="120"/>
      <c r="B14" s="132" t="s">
        <v>954</v>
      </c>
      <c r="C14" s="136"/>
      <c r="D14" s="137"/>
    </row>
    <row r="15" spans="1:4" s="121" customFormat="1" ht="11.1" customHeight="1" x14ac:dyDescent="0.25">
      <c r="A15" s="120"/>
      <c r="B15" s="132" t="s">
        <v>970</v>
      </c>
      <c r="C15" s="136">
        <v>2987115.89</v>
      </c>
      <c r="D15" s="1100">
        <v>2436360.37</v>
      </c>
    </row>
    <row r="16" spans="1:4" s="121" customFormat="1" ht="25.5" customHeight="1" x14ac:dyDescent="0.25">
      <c r="A16" s="120"/>
      <c r="B16" s="132" t="s">
        <v>956</v>
      </c>
      <c r="C16" s="136"/>
      <c r="D16" s="137"/>
    </row>
    <row r="17" spans="1:4" s="121" customFormat="1" ht="12" customHeight="1" x14ac:dyDescent="0.25">
      <c r="A17" s="120"/>
      <c r="B17" s="132" t="s">
        <v>965</v>
      </c>
      <c r="C17" s="1100">
        <v>33638983.780000001</v>
      </c>
      <c r="D17" s="137">
        <v>31177659.539999999</v>
      </c>
    </row>
    <row r="18" spans="1:4" s="121" customFormat="1" ht="12" customHeight="1" x14ac:dyDescent="0.25">
      <c r="A18" s="120"/>
      <c r="B18" s="132" t="s">
        <v>261</v>
      </c>
      <c r="C18" s="1100"/>
      <c r="D18" s="137"/>
    </row>
    <row r="19" spans="1:4" s="117" customFormat="1" ht="13.5" customHeight="1" x14ac:dyDescent="0.25">
      <c r="A19" s="118"/>
      <c r="B19" s="119" t="s">
        <v>252</v>
      </c>
      <c r="C19" s="134">
        <f>SUM(C20:C35)</f>
        <v>35283488.670000002</v>
      </c>
      <c r="D19" s="135">
        <f>SUM(D20:D35)</f>
        <v>31769327</v>
      </c>
    </row>
    <row r="20" spans="1:4" s="117" customFormat="1" ht="11.1" customHeight="1" x14ac:dyDescent="0.25">
      <c r="A20" s="118"/>
      <c r="B20" s="132" t="s">
        <v>213</v>
      </c>
      <c r="C20" s="1100">
        <v>27207958.949999999</v>
      </c>
      <c r="D20" s="1100">
        <v>26918736.32</v>
      </c>
    </row>
    <row r="21" spans="1:4" s="117" customFormat="1" ht="11.1" customHeight="1" x14ac:dyDescent="0.25">
      <c r="A21" s="118"/>
      <c r="B21" s="132" t="s">
        <v>214</v>
      </c>
      <c r="C21" s="1100">
        <v>1840103.75</v>
      </c>
      <c r="D21" s="1100">
        <v>1173930.8</v>
      </c>
    </row>
    <row r="22" spans="1:4" s="117" customFormat="1" ht="11.1" customHeight="1" x14ac:dyDescent="0.25">
      <c r="A22" s="118"/>
      <c r="B22" s="132" t="s">
        <v>215</v>
      </c>
      <c r="C22" s="1100">
        <v>4184734.04</v>
      </c>
      <c r="D22" s="1100">
        <v>3133602.66</v>
      </c>
    </row>
    <row r="23" spans="1:4" s="117" customFormat="1" ht="12.75" customHeight="1" x14ac:dyDescent="0.25">
      <c r="A23" s="118"/>
      <c r="B23" s="132" t="s">
        <v>216</v>
      </c>
      <c r="C23" s="136">
        <v>0</v>
      </c>
      <c r="D23" s="137">
        <v>0</v>
      </c>
    </row>
    <row r="24" spans="1:4" s="117" customFormat="1" ht="11.1" customHeight="1" x14ac:dyDescent="0.25">
      <c r="A24" s="118"/>
      <c r="B24" s="132" t="s">
        <v>262</v>
      </c>
      <c r="C24" s="136"/>
      <c r="D24" s="137"/>
    </row>
    <row r="25" spans="1:4" s="117" customFormat="1" ht="11.1" customHeight="1" x14ac:dyDescent="0.25">
      <c r="A25" s="118"/>
      <c r="B25" s="132" t="s">
        <v>263</v>
      </c>
      <c r="C25" s="136"/>
      <c r="D25" s="137"/>
    </row>
    <row r="26" spans="1:4" s="117" customFormat="1" ht="11.1" customHeight="1" x14ac:dyDescent="0.25">
      <c r="A26" s="118"/>
      <c r="B26" s="132" t="s">
        <v>219</v>
      </c>
      <c r="C26" s="136"/>
      <c r="D26" s="137"/>
    </row>
    <row r="27" spans="1:4" s="117" customFormat="1" ht="11.1" customHeight="1" x14ac:dyDescent="0.25">
      <c r="A27" s="118"/>
      <c r="B27" s="132" t="s">
        <v>220</v>
      </c>
      <c r="C27" s="136"/>
      <c r="D27" s="137"/>
    </row>
    <row r="28" spans="1:4" s="117" customFormat="1" ht="11.1" customHeight="1" x14ac:dyDescent="0.25">
      <c r="A28" s="118"/>
      <c r="B28" s="132" t="s">
        <v>221</v>
      </c>
      <c r="C28" s="136"/>
      <c r="D28" s="137"/>
    </row>
    <row r="29" spans="1:4" s="117" customFormat="1" ht="11.1" customHeight="1" x14ac:dyDescent="0.25">
      <c r="A29" s="118"/>
      <c r="B29" s="132" t="s">
        <v>222</v>
      </c>
      <c r="C29" s="136"/>
      <c r="D29" s="137"/>
    </row>
    <row r="30" spans="1:4" s="117" customFormat="1" ht="11.1" customHeight="1" x14ac:dyDescent="0.25">
      <c r="A30" s="118"/>
      <c r="B30" s="132" t="s">
        <v>223</v>
      </c>
      <c r="C30" s="136"/>
      <c r="D30" s="137"/>
    </row>
    <row r="31" spans="1:4" s="117" customFormat="1" ht="11.1" customHeight="1" x14ac:dyDescent="0.25">
      <c r="A31" s="118"/>
      <c r="B31" s="132" t="s">
        <v>224</v>
      </c>
      <c r="C31" s="136"/>
      <c r="D31" s="137"/>
    </row>
    <row r="32" spans="1:4" s="117" customFormat="1" ht="11.1" customHeight="1" x14ac:dyDescent="0.25">
      <c r="A32" s="118"/>
      <c r="B32" s="132" t="s">
        <v>264</v>
      </c>
      <c r="C32" s="136"/>
      <c r="D32" s="137"/>
    </row>
    <row r="33" spans="1:4" s="117" customFormat="1" ht="11.1" customHeight="1" x14ac:dyDescent="0.25">
      <c r="A33" s="118"/>
      <c r="B33" s="132" t="s">
        <v>67</v>
      </c>
      <c r="C33" s="136"/>
      <c r="D33" s="137"/>
    </row>
    <row r="34" spans="1:4" s="117" customFormat="1" ht="11.1" customHeight="1" x14ac:dyDescent="0.25">
      <c r="A34" s="118"/>
      <c r="B34" s="132" t="s">
        <v>227</v>
      </c>
      <c r="C34" s="136"/>
      <c r="D34" s="137"/>
    </row>
    <row r="35" spans="1:4" s="117" customFormat="1" ht="11.1" customHeight="1" x14ac:dyDescent="0.25">
      <c r="A35" s="118"/>
      <c r="B35" s="132" t="s">
        <v>265</v>
      </c>
      <c r="C35" s="136">
        <v>2050691.93</v>
      </c>
      <c r="D35" s="137">
        <v>543057.22</v>
      </c>
    </row>
    <row r="36" spans="1:4" s="117" customFormat="1" ht="12" customHeight="1" x14ac:dyDescent="0.25">
      <c r="A36" s="122" t="s">
        <v>266</v>
      </c>
      <c r="B36" s="123"/>
      <c r="C36" s="138">
        <f>C8-C19</f>
        <v>1342611</v>
      </c>
      <c r="D36" s="139">
        <f>D8-D19</f>
        <v>1844692.9099999964</v>
      </c>
    </row>
    <row r="37" spans="1:4" s="117" customFormat="1" ht="4.5" customHeight="1" x14ac:dyDescent="0.25">
      <c r="A37" s="124"/>
      <c r="B37" s="125"/>
      <c r="C37" s="140"/>
      <c r="D37" s="141"/>
    </row>
    <row r="38" spans="1:4" s="117" customFormat="1" ht="12.75" x14ac:dyDescent="0.25">
      <c r="A38" s="126" t="s">
        <v>267</v>
      </c>
      <c r="B38" s="119"/>
      <c r="C38" s="142"/>
      <c r="D38" s="143"/>
    </row>
    <row r="39" spans="1:4" s="117" customFormat="1" ht="10.5" customHeight="1" x14ac:dyDescent="0.25">
      <c r="A39" s="118"/>
      <c r="B39" s="119" t="s">
        <v>251</v>
      </c>
      <c r="C39" s="134">
        <f>SUM(C40:C42)</f>
        <v>0</v>
      </c>
      <c r="D39" s="135">
        <f>SUM(D40:D42)</f>
        <v>0</v>
      </c>
    </row>
    <row r="40" spans="1:4" s="117" customFormat="1" ht="11.1" customHeight="1" x14ac:dyDescent="0.25">
      <c r="A40" s="118"/>
      <c r="B40" s="133" t="s">
        <v>50</v>
      </c>
      <c r="C40" s="136"/>
      <c r="D40" s="137"/>
    </row>
    <row r="41" spans="1:4" s="117" customFormat="1" ht="11.1" customHeight="1" x14ac:dyDescent="0.25">
      <c r="A41" s="118"/>
      <c r="B41" s="133" t="s">
        <v>52</v>
      </c>
      <c r="C41" s="136"/>
      <c r="D41" s="137"/>
    </row>
    <row r="42" spans="1:4" s="117" customFormat="1" ht="11.1" customHeight="1" x14ac:dyDescent="0.25">
      <c r="A42" s="118"/>
      <c r="B42" s="133" t="s">
        <v>268</v>
      </c>
      <c r="C42" s="136"/>
      <c r="D42" s="137"/>
    </row>
    <row r="43" spans="1:4" s="117" customFormat="1" ht="10.5" customHeight="1" x14ac:dyDescent="0.25">
      <c r="A43" s="118"/>
      <c r="B43" s="119" t="s">
        <v>252</v>
      </c>
      <c r="C43" s="134">
        <f>SUM(C44:C46)</f>
        <v>347289.9</v>
      </c>
      <c r="D43" s="135">
        <f>SUM(D44:D46)</f>
        <v>110744.04</v>
      </c>
    </row>
    <row r="44" spans="1:4" s="117" customFormat="1" ht="11.1" customHeight="1" x14ac:dyDescent="0.25">
      <c r="A44" s="118"/>
      <c r="B44" s="133" t="s">
        <v>50</v>
      </c>
      <c r="C44" s="136"/>
      <c r="D44" s="137"/>
    </row>
    <row r="45" spans="1:4" s="117" customFormat="1" ht="11.1" customHeight="1" x14ac:dyDescent="0.25">
      <c r="A45" s="118"/>
      <c r="B45" s="133" t="s">
        <v>52</v>
      </c>
      <c r="C45" s="1100">
        <v>347289.9</v>
      </c>
      <c r="D45" s="1100">
        <v>110744.04</v>
      </c>
    </row>
    <row r="46" spans="1:4" s="117" customFormat="1" ht="11.1" customHeight="1" x14ac:dyDescent="0.25">
      <c r="A46" s="118"/>
      <c r="B46" s="133" t="s">
        <v>269</v>
      </c>
      <c r="C46" s="136"/>
      <c r="D46" s="137"/>
    </row>
    <row r="47" spans="1:4" s="117" customFormat="1" ht="12" customHeight="1" x14ac:dyDescent="0.25">
      <c r="A47" s="122" t="s">
        <v>270</v>
      </c>
      <c r="B47" s="123"/>
      <c r="C47" s="138">
        <f>C39-C43</f>
        <v>-347289.9</v>
      </c>
      <c r="D47" s="139">
        <f>D39-D43</f>
        <v>-110744.04</v>
      </c>
    </row>
    <row r="48" spans="1:4" s="117" customFormat="1" ht="2.25" customHeight="1" x14ac:dyDescent="0.25">
      <c r="A48" s="124"/>
      <c r="B48" s="125"/>
      <c r="C48" s="144"/>
      <c r="D48" s="145"/>
    </row>
    <row r="49" spans="1:5" s="117" customFormat="1" ht="12" customHeight="1" x14ac:dyDescent="0.25">
      <c r="A49" s="126" t="s">
        <v>271</v>
      </c>
      <c r="B49" s="119"/>
      <c r="C49" s="142"/>
      <c r="D49" s="143"/>
    </row>
    <row r="50" spans="1:5" s="117" customFormat="1" ht="12.75" x14ac:dyDescent="0.25">
      <c r="A50" s="118"/>
      <c r="B50" s="119" t="s">
        <v>251</v>
      </c>
      <c r="C50" s="134">
        <f>C51+C54</f>
        <v>0</v>
      </c>
      <c r="D50" s="134">
        <f>D51+D54</f>
        <v>0</v>
      </c>
    </row>
    <row r="51" spans="1:5" s="117" customFormat="1" ht="11.1" customHeight="1" x14ac:dyDescent="0.25">
      <c r="A51" s="118"/>
      <c r="B51" s="133" t="s">
        <v>272</v>
      </c>
      <c r="C51" s="136">
        <f>C52+C53</f>
        <v>0</v>
      </c>
      <c r="D51" s="136">
        <f>D52+D53</f>
        <v>0</v>
      </c>
    </row>
    <row r="52" spans="1:5" s="117" customFormat="1" ht="11.1" customHeight="1" x14ac:dyDescent="0.25">
      <c r="A52" s="118"/>
      <c r="B52" s="133" t="s">
        <v>974</v>
      </c>
      <c r="C52" s="136">
        <v>0</v>
      </c>
      <c r="D52" s="137">
        <v>0</v>
      </c>
    </row>
    <row r="53" spans="1:5" s="117" customFormat="1" ht="11.1" customHeight="1" x14ac:dyDescent="0.25">
      <c r="A53" s="118"/>
      <c r="B53" s="133" t="s">
        <v>975</v>
      </c>
      <c r="C53" s="136">
        <v>0</v>
      </c>
      <c r="D53" s="137">
        <v>0</v>
      </c>
    </row>
    <row r="54" spans="1:5" s="117" customFormat="1" ht="11.1" customHeight="1" x14ac:dyDescent="0.25">
      <c r="A54" s="118"/>
      <c r="B54" s="133" t="s">
        <v>273</v>
      </c>
      <c r="C54" s="136">
        <v>0</v>
      </c>
      <c r="D54" s="137">
        <v>0</v>
      </c>
    </row>
    <row r="55" spans="1:5" s="117" customFormat="1" ht="11.25" customHeight="1" x14ac:dyDescent="0.25">
      <c r="A55" s="118"/>
      <c r="B55" s="119" t="s">
        <v>252</v>
      </c>
      <c r="C55" s="134">
        <f>C56+C59</f>
        <v>0</v>
      </c>
      <c r="D55" s="134">
        <f>D56+D59</f>
        <v>0</v>
      </c>
    </row>
    <row r="56" spans="1:5" s="117" customFormat="1" ht="11.1" customHeight="1" x14ac:dyDescent="0.25">
      <c r="A56" s="118"/>
      <c r="B56" s="133" t="s">
        <v>274</v>
      </c>
      <c r="C56" s="136">
        <f>C57+C58</f>
        <v>0</v>
      </c>
      <c r="D56" s="136">
        <f>D57+D58</f>
        <v>0</v>
      </c>
    </row>
    <row r="57" spans="1:5" s="117" customFormat="1" ht="11.1" customHeight="1" x14ac:dyDescent="0.25">
      <c r="A57" s="118"/>
      <c r="B57" s="133" t="s">
        <v>974</v>
      </c>
      <c r="C57" s="136"/>
      <c r="D57" s="137"/>
    </row>
    <row r="58" spans="1:5" s="117" customFormat="1" ht="11.1" customHeight="1" x14ac:dyDescent="0.25">
      <c r="A58" s="118"/>
      <c r="B58" s="133" t="s">
        <v>975</v>
      </c>
      <c r="C58" s="136"/>
      <c r="D58" s="137"/>
    </row>
    <row r="59" spans="1:5" s="117" customFormat="1" ht="11.1" customHeight="1" x14ac:dyDescent="0.25">
      <c r="A59" s="118"/>
      <c r="B59" s="133" t="s">
        <v>275</v>
      </c>
      <c r="C59" s="136"/>
      <c r="D59" s="137"/>
    </row>
    <row r="60" spans="1:5" s="117" customFormat="1" ht="12" customHeight="1" x14ac:dyDescent="0.25">
      <c r="A60" s="122" t="s">
        <v>276</v>
      </c>
      <c r="B60" s="123"/>
      <c r="C60" s="138">
        <f>C50-C55</f>
        <v>0</v>
      </c>
      <c r="D60" s="139">
        <f>D50-D55</f>
        <v>0</v>
      </c>
    </row>
    <row r="61" spans="1:5" s="117" customFormat="1" ht="2.25" customHeight="1" x14ac:dyDescent="0.25">
      <c r="A61" s="124"/>
      <c r="B61" s="125"/>
      <c r="C61" s="144"/>
      <c r="D61" s="145"/>
    </row>
    <row r="62" spans="1:5" s="117" customFormat="1" ht="12" customHeight="1" x14ac:dyDescent="0.25">
      <c r="A62" s="122" t="s">
        <v>277</v>
      </c>
      <c r="B62" s="127"/>
      <c r="C62" s="146">
        <f>C60+C47+C36</f>
        <v>995321.1</v>
      </c>
      <c r="D62" s="147">
        <f>D60+D47+D36</f>
        <v>1733948.8699999964</v>
      </c>
    </row>
    <row r="63" spans="1:5" ht="2.25" customHeight="1" x14ac:dyDescent="0.3">
      <c r="A63" s="128"/>
      <c r="B63" s="129"/>
      <c r="C63" s="144"/>
      <c r="D63" s="145"/>
    </row>
    <row r="64" spans="1:5" s="117" customFormat="1" ht="12" customHeight="1" x14ac:dyDescent="0.25">
      <c r="A64" s="122" t="s">
        <v>278</v>
      </c>
      <c r="B64" s="123"/>
      <c r="C64" s="136">
        <v>2347200.67</v>
      </c>
      <c r="D64" s="137">
        <v>613251.80000000005</v>
      </c>
      <c r="E64" s="416" t="str">
        <f>IF(C64-'CPCA-I-01'!C9&gt;0.99,"ERROR!!!, NO COINCIDEN LOS MONTOS CON LO REPORTADO EN EL FORMATO ETCA-I-01 EN EL EJERCICIO 2015","")</f>
        <v/>
      </c>
    </row>
    <row r="65" spans="1:5" s="117" customFormat="1" ht="12" customHeight="1" thickBot="1" x14ac:dyDescent="0.3">
      <c r="A65" s="131" t="s">
        <v>279</v>
      </c>
      <c r="B65" s="130"/>
      <c r="C65" s="148">
        <f>C64+C62</f>
        <v>3342521.77</v>
      </c>
      <c r="D65" s="149">
        <f>D64+D62</f>
        <v>2347200.6699999962</v>
      </c>
      <c r="E65" s="416" t="str">
        <f>IF(C65-'CPCA-I-01'!B9&gt;0.99,"ERROR!!!, NO COINCIDEN LOS MONTOS CON LO REPORTADO EN EL FORMATO ETCA-I-01","")</f>
        <v/>
      </c>
    </row>
    <row r="66" spans="1:5" s="117" customFormat="1" ht="12" customHeight="1" x14ac:dyDescent="0.25">
      <c r="A66" s="117" t="s">
        <v>244</v>
      </c>
      <c r="E66" s="558"/>
    </row>
    <row r="67" spans="1:5" s="117" customFormat="1" ht="12" customHeight="1" x14ac:dyDescent="0.25">
      <c r="E67" s="558"/>
    </row>
    <row r="68" spans="1:5" s="117" customFormat="1" ht="12" customHeight="1" x14ac:dyDescent="0.25">
      <c r="A68" s="123"/>
      <c r="B68" s="127"/>
      <c r="C68" s="146"/>
      <c r="D68" s="146"/>
      <c r="E68" s="416"/>
    </row>
    <row r="69" spans="1:5" s="117" customFormat="1" ht="12" customHeight="1" x14ac:dyDescent="0.25">
      <c r="A69" s="123"/>
      <c r="B69" s="127"/>
      <c r="C69" s="146"/>
      <c r="D69" s="146"/>
      <c r="E69" s="416"/>
    </row>
    <row r="70" spans="1:5" s="117" customFormat="1" ht="12" customHeight="1" x14ac:dyDescent="0.25">
      <c r="A70" s="123"/>
      <c r="B70" s="127"/>
      <c r="C70" s="146"/>
      <c r="D70" s="146"/>
      <c r="E70" s="416"/>
    </row>
    <row r="71" spans="1:5" ht="12" customHeight="1" x14ac:dyDescent="0.3">
      <c r="A71" s="417" t="s">
        <v>245</v>
      </c>
    </row>
  </sheetData>
  <sheetProtection insertHyperlinks="0"/>
  <mergeCells count="7">
    <mergeCell ref="A7:C7"/>
    <mergeCell ref="A1:D1"/>
    <mergeCell ref="A3:D3"/>
    <mergeCell ref="A2:D2"/>
    <mergeCell ref="A4:D4"/>
    <mergeCell ref="A5:B5"/>
    <mergeCell ref="A6:B6"/>
  </mergeCells>
  <printOptions horizontalCentered="1"/>
  <pageMargins left="0.39370078740157483" right="0.39370078740157483" top="0.39370078740157483" bottom="0.39370078740157483" header="0.31496062992125984" footer="0.31496062992125984"/>
  <pageSetup scale="91"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pageSetUpPr fitToPage="1"/>
  </sheetPr>
  <dimension ref="A1:H34"/>
  <sheetViews>
    <sheetView view="pageBreakPreview" zoomScaleNormal="100" zoomScaleSheetLayoutView="100" workbookViewId="0">
      <selection activeCell="D12" sqref="D12"/>
    </sheetView>
  </sheetViews>
  <sheetFormatPr baseColWidth="10" defaultColWidth="11.28515625" defaultRowHeight="16.5" x14ac:dyDescent="0.25"/>
  <cols>
    <col min="1" max="1" width="1.28515625" style="110" customWidth="1"/>
    <col min="2" max="2" width="32.28515625" style="110" customWidth="1"/>
    <col min="3" max="7" width="12.7109375" style="110" customWidth="1"/>
    <col min="8" max="8" width="63.85546875" style="110" customWidth="1"/>
    <col min="9" max="16384" width="11.28515625" style="110"/>
  </cols>
  <sheetData>
    <row r="1" spans="1:8" x14ac:dyDescent="0.25">
      <c r="A1" s="1236" t="str">
        <f>'CPCA-I-01'!A1</f>
        <v>RADIO SONORA</v>
      </c>
      <c r="B1" s="1236"/>
      <c r="C1" s="1236"/>
      <c r="D1" s="1236"/>
      <c r="E1" s="1236"/>
      <c r="F1" s="1236"/>
      <c r="G1" s="1236"/>
    </row>
    <row r="2" spans="1:8" s="152" customFormat="1" ht="18" x14ac:dyDescent="0.25">
      <c r="A2" s="1237" t="s">
        <v>5</v>
      </c>
      <c r="B2" s="1237"/>
      <c r="C2" s="1237"/>
      <c r="D2" s="1237"/>
      <c r="E2" s="1237"/>
      <c r="F2" s="1237"/>
      <c r="G2" s="1237"/>
      <c r="H2" s="406"/>
    </row>
    <row r="3" spans="1:8" s="152" customFormat="1" ht="15.75" x14ac:dyDescent="0.25">
      <c r="A3" s="1236"/>
      <c r="B3" s="1236"/>
      <c r="C3" s="1236"/>
      <c r="D3" s="1236"/>
      <c r="E3" s="1236"/>
      <c r="F3" s="1236"/>
      <c r="G3" s="1236"/>
    </row>
    <row r="4" spans="1:8" s="152" customFormat="1" x14ac:dyDescent="0.25">
      <c r="A4" s="1238" t="str">
        <f>'CPCA-I-03'!A4:D4</f>
        <v>Del 01 de ENERO al 31 de DICIEMBRE de 2024</v>
      </c>
      <c r="B4" s="1238"/>
      <c r="C4" s="1238"/>
      <c r="D4" s="1238"/>
      <c r="E4" s="1238"/>
      <c r="F4" s="1238"/>
      <c r="G4" s="1238"/>
    </row>
    <row r="5" spans="1:8" s="154" customFormat="1" ht="17.25" thickBot="1" x14ac:dyDescent="0.3">
      <c r="A5" s="153"/>
      <c r="B5" s="153"/>
      <c r="C5" s="1239" t="s">
        <v>280</v>
      </c>
      <c r="D5" s="1239"/>
      <c r="E5" s="153"/>
      <c r="F5" s="38"/>
      <c r="G5" s="153"/>
    </row>
    <row r="6" spans="1:8" s="155" customFormat="1" ht="50.25" thickBot="1" x14ac:dyDescent="0.3">
      <c r="A6" s="1234" t="s">
        <v>247</v>
      </c>
      <c r="B6" s="1235"/>
      <c r="C6" s="158" t="s">
        <v>281</v>
      </c>
      <c r="D6" s="158" t="s">
        <v>282</v>
      </c>
      <c r="E6" s="158" t="s">
        <v>283</v>
      </c>
      <c r="F6" s="158" t="s">
        <v>284</v>
      </c>
      <c r="G6" s="159" t="s">
        <v>285</v>
      </c>
    </row>
    <row r="7" spans="1:8" ht="20.100000000000001" customHeight="1" x14ac:dyDescent="0.25">
      <c r="A7" s="529"/>
      <c r="B7" s="530"/>
      <c r="C7" s="531"/>
      <c r="D7" s="531"/>
      <c r="E7" s="531"/>
      <c r="F7" s="531"/>
      <c r="G7" s="532"/>
    </row>
    <row r="8" spans="1:8" ht="20.100000000000001" customHeight="1" x14ac:dyDescent="0.25">
      <c r="A8" s="533" t="s">
        <v>23</v>
      </c>
      <c r="B8" s="534"/>
      <c r="C8" s="535">
        <f>C10+C19</f>
        <v>9910685.5700000003</v>
      </c>
      <c r="D8" s="535">
        <f>D10+D19</f>
        <v>73957642.450000003</v>
      </c>
      <c r="E8" s="535">
        <f>E10+E19</f>
        <v>66314857.200000003</v>
      </c>
      <c r="F8" s="535">
        <f>F10+F19</f>
        <v>17553470.82</v>
      </c>
      <c r="G8" s="809">
        <f>G10+G19</f>
        <v>7642785.25</v>
      </c>
      <c r="H8" s="397" t="str">
        <f>IF(F8&lt;&gt;'CPCA-I-01'!B33,"ERROR!!!!! EL MONTO NO COINCIDE CON LO REPORTADO EN EL FORMATO ETCA-I-01 EN EL TOTAL ","")</f>
        <v/>
      </c>
    </row>
    <row r="9" spans="1:8" ht="20.100000000000001" customHeight="1" x14ac:dyDescent="0.25">
      <c r="A9" s="538"/>
      <c r="B9" s="539"/>
      <c r="C9" s="540"/>
      <c r="D9" s="540"/>
      <c r="E9" s="540"/>
      <c r="F9" s="540"/>
      <c r="G9" s="541"/>
    </row>
    <row r="10" spans="1:8" ht="20.100000000000001" customHeight="1" x14ac:dyDescent="0.25">
      <c r="A10" s="538"/>
      <c r="B10" s="539" t="s">
        <v>25</v>
      </c>
      <c r="C10" s="535">
        <f>SUM(C11:C17)</f>
        <v>8512217.0099999998</v>
      </c>
      <c r="D10" s="535">
        <f>SUM(D11:D17)</f>
        <v>73610352.549999997</v>
      </c>
      <c r="E10" s="535">
        <f>SUM(E11:E17)</f>
        <v>66314857.200000003</v>
      </c>
      <c r="F10" s="536">
        <f>C10+D10-E10</f>
        <v>15807712.359999999</v>
      </c>
      <c r="G10" s="537">
        <f>F10-C10</f>
        <v>7295495.3499999996</v>
      </c>
      <c r="H10" s="397" t="str">
        <f>IF(F10&lt;&gt;'CPCA-I-01'!B18,"ERROR!!!!! EL MONTO NO COINCIDE CON LO REPORTADO EN EL FORMATO ETCA-I-01 EN EL TOTAL","")</f>
        <v/>
      </c>
    </row>
    <row r="11" spans="1:8" ht="20.100000000000001" customHeight="1" x14ac:dyDescent="0.25">
      <c r="A11" s="542"/>
      <c r="B11" s="543" t="s">
        <v>27</v>
      </c>
      <c r="C11" s="540">
        <v>2347200.67</v>
      </c>
      <c r="D11" s="1102">
        <v>27482489.719999999</v>
      </c>
      <c r="E11" s="1103">
        <v>26487168.620000001</v>
      </c>
      <c r="F11" s="544">
        <f t="shared" ref="F11:F17" si="0">C11+D11-E11</f>
        <v>3342521.7699999996</v>
      </c>
      <c r="G11" s="545">
        <f>F11-C11</f>
        <v>995321.09999999963</v>
      </c>
    </row>
    <row r="12" spans="1:8" ht="20.100000000000001" customHeight="1" x14ac:dyDescent="0.25">
      <c r="A12" s="542"/>
      <c r="B12" s="543" t="s">
        <v>29</v>
      </c>
      <c r="C12" s="540">
        <v>31668.98</v>
      </c>
      <c r="D12" s="1102">
        <v>36940135.439999998</v>
      </c>
      <c r="E12" s="1103">
        <v>36849845.609999999</v>
      </c>
      <c r="F12" s="544">
        <f t="shared" si="0"/>
        <v>121958.80999999493</v>
      </c>
      <c r="G12" s="545">
        <f t="shared" ref="G12:G17" si="1">F12-C12</f>
        <v>90289.829999994938</v>
      </c>
    </row>
    <row r="13" spans="1:8" ht="20.100000000000001" customHeight="1" x14ac:dyDescent="0.25">
      <c r="A13" s="542"/>
      <c r="B13" s="543" t="s">
        <v>31</v>
      </c>
      <c r="C13" s="540">
        <v>6133347.3600000003</v>
      </c>
      <c r="D13" s="1102">
        <v>9187727.3900000006</v>
      </c>
      <c r="E13" s="1103">
        <v>2977842.97</v>
      </c>
      <c r="F13" s="544">
        <f t="shared" si="0"/>
        <v>12343231.779999999</v>
      </c>
      <c r="G13" s="545">
        <f t="shared" si="1"/>
        <v>6209884.419999999</v>
      </c>
    </row>
    <row r="14" spans="1:8" ht="20.100000000000001" customHeight="1" x14ac:dyDescent="0.25">
      <c r="A14" s="542"/>
      <c r="B14" s="543" t="s">
        <v>33</v>
      </c>
      <c r="C14" s="540"/>
      <c r="D14" s="540"/>
      <c r="E14" s="540"/>
      <c r="F14" s="544">
        <f t="shared" si="0"/>
        <v>0</v>
      </c>
      <c r="G14" s="545">
        <f t="shared" si="1"/>
        <v>0</v>
      </c>
    </row>
    <row r="15" spans="1:8" ht="20.100000000000001" customHeight="1" x14ac:dyDescent="0.25">
      <c r="A15" s="542"/>
      <c r="B15" s="543" t="s">
        <v>35</v>
      </c>
      <c r="C15" s="540"/>
      <c r="D15" s="540"/>
      <c r="E15" s="540"/>
      <c r="F15" s="544">
        <f t="shared" si="0"/>
        <v>0</v>
      </c>
      <c r="G15" s="545">
        <f t="shared" si="1"/>
        <v>0</v>
      </c>
    </row>
    <row r="16" spans="1:8" ht="25.5" x14ac:dyDescent="0.25">
      <c r="A16" s="542"/>
      <c r="B16" s="543" t="s">
        <v>37</v>
      </c>
      <c r="C16" s="540"/>
      <c r="D16" s="540"/>
      <c r="E16" s="540"/>
      <c r="F16" s="544">
        <f t="shared" si="0"/>
        <v>0</v>
      </c>
      <c r="G16" s="545">
        <f t="shared" si="1"/>
        <v>0</v>
      </c>
    </row>
    <row r="17" spans="1:8" ht="20.100000000000001" customHeight="1" x14ac:dyDescent="0.25">
      <c r="A17" s="542"/>
      <c r="B17" s="543" t="s">
        <v>39</v>
      </c>
      <c r="C17" s="540"/>
      <c r="D17" s="540"/>
      <c r="E17" s="540"/>
      <c r="F17" s="544">
        <f t="shared" si="0"/>
        <v>0</v>
      </c>
      <c r="G17" s="545">
        <f t="shared" si="1"/>
        <v>0</v>
      </c>
    </row>
    <row r="18" spans="1:8" ht="20.100000000000001" customHeight="1" x14ac:dyDescent="0.25">
      <c r="A18" s="538"/>
      <c r="B18" s="539"/>
      <c r="C18" s="540"/>
      <c r="D18" s="540"/>
      <c r="E18" s="540"/>
      <c r="F18" s="540"/>
      <c r="G18" s="541"/>
    </row>
    <row r="19" spans="1:8" ht="20.100000000000001" customHeight="1" x14ac:dyDescent="0.25">
      <c r="A19" s="538"/>
      <c r="B19" s="539" t="s">
        <v>44</v>
      </c>
      <c r="C19" s="535">
        <f>SUM(C20:C28)</f>
        <v>1398468.5599999996</v>
      </c>
      <c r="D19" s="535">
        <f>SUM(D20:D28)</f>
        <v>347289.9</v>
      </c>
      <c r="E19" s="535">
        <f>SUM(E20:E28)</f>
        <v>0</v>
      </c>
      <c r="F19" s="536">
        <f>C19+D19-E19</f>
        <v>1745758.4599999995</v>
      </c>
      <c r="G19" s="537">
        <f>F19-C19</f>
        <v>347289.89999999991</v>
      </c>
      <c r="H19" s="397" t="str">
        <f>IF(F19&lt;&gt;'CPCA-I-01'!B31,"ERROR!!!!! EL MONTO NO COINCIDE CON LO REPORTADO EN EL FORMATO ETCA-I-01 EN EL TOTAL","")</f>
        <v/>
      </c>
    </row>
    <row r="20" spans="1:8" ht="20.100000000000001" customHeight="1" x14ac:dyDescent="0.25">
      <c r="A20" s="542"/>
      <c r="B20" s="543" t="s">
        <v>46</v>
      </c>
      <c r="C20" s="540"/>
      <c r="D20" s="540"/>
      <c r="E20" s="540"/>
      <c r="F20" s="544">
        <f>C20+D20-E20</f>
        <v>0</v>
      </c>
      <c r="G20" s="545">
        <f>F20-C20</f>
        <v>0</v>
      </c>
    </row>
    <row r="21" spans="1:8" ht="25.5" x14ac:dyDescent="0.25">
      <c r="A21" s="542"/>
      <c r="B21" s="543" t="s">
        <v>48</v>
      </c>
      <c r="C21" s="540"/>
      <c r="D21" s="540"/>
      <c r="E21" s="540"/>
      <c r="F21" s="544">
        <f t="shared" ref="F21:F26" si="2">C21+D21-E21</f>
        <v>0</v>
      </c>
      <c r="G21" s="545">
        <f t="shared" ref="G21:G26" si="3">F21-C21</f>
        <v>0</v>
      </c>
    </row>
    <row r="22" spans="1:8" ht="25.5" x14ac:dyDescent="0.25">
      <c r="A22" s="542"/>
      <c r="B22" s="543" t="s">
        <v>50</v>
      </c>
      <c r="C22" s="540"/>
      <c r="D22" s="540"/>
      <c r="E22" s="540"/>
      <c r="F22" s="544">
        <f t="shared" si="2"/>
        <v>0</v>
      </c>
      <c r="G22" s="545">
        <f t="shared" si="3"/>
        <v>0</v>
      </c>
    </row>
    <row r="23" spans="1:8" ht="20.100000000000001" customHeight="1" x14ac:dyDescent="0.25">
      <c r="A23" s="542"/>
      <c r="B23" s="543" t="s">
        <v>52</v>
      </c>
      <c r="C23" s="540">
        <v>6803488.3499999996</v>
      </c>
      <c r="D23" s="1158">
        <v>347289.9</v>
      </c>
      <c r="E23" s="1159">
        <v>0</v>
      </c>
      <c r="F23" s="544">
        <f t="shared" si="2"/>
        <v>7150778.25</v>
      </c>
      <c r="G23" s="545">
        <f t="shared" si="3"/>
        <v>347289.90000000037</v>
      </c>
    </row>
    <row r="24" spans="1:8" ht="20.100000000000001" customHeight="1" x14ac:dyDescent="0.25">
      <c r="A24" s="542"/>
      <c r="B24" s="543" t="s">
        <v>54</v>
      </c>
      <c r="C24" s="540">
        <v>157220.53</v>
      </c>
      <c r="D24" s="1158">
        <v>0</v>
      </c>
      <c r="E24" s="1159">
        <v>0</v>
      </c>
      <c r="F24" s="544">
        <f t="shared" si="2"/>
        <v>157220.53</v>
      </c>
      <c r="G24" s="545">
        <f t="shared" si="3"/>
        <v>0</v>
      </c>
    </row>
    <row r="25" spans="1:8" ht="25.5" x14ac:dyDescent="0.25">
      <c r="A25" s="542"/>
      <c r="B25" s="543" t="s">
        <v>56</v>
      </c>
      <c r="C25" s="540">
        <v>-5562240.3200000003</v>
      </c>
      <c r="D25" s="1158">
        <v>0</v>
      </c>
      <c r="E25" s="1159">
        <v>0</v>
      </c>
      <c r="F25" s="544">
        <f t="shared" si="2"/>
        <v>-5562240.3200000003</v>
      </c>
      <c r="G25" s="545">
        <f t="shared" si="3"/>
        <v>0</v>
      </c>
    </row>
    <row r="26" spans="1:8" ht="20.100000000000001" customHeight="1" x14ac:dyDescent="0.25">
      <c r="A26" s="542"/>
      <c r="B26" s="543" t="s">
        <v>58</v>
      </c>
      <c r="C26" s="540"/>
      <c r="D26" s="540"/>
      <c r="E26" s="1101"/>
      <c r="F26" s="544">
        <f t="shared" si="2"/>
        <v>0</v>
      </c>
      <c r="G26" s="545">
        <f t="shared" si="3"/>
        <v>0</v>
      </c>
    </row>
    <row r="27" spans="1:8" ht="25.5" x14ac:dyDescent="0.25">
      <c r="A27" s="542"/>
      <c r="B27" s="543" t="s">
        <v>59</v>
      </c>
      <c r="C27" s="540"/>
      <c r="D27" s="540"/>
      <c r="E27" s="540">
        <v>0</v>
      </c>
      <c r="F27" s="544">
        <f>C27+D27-E27</f>
        <v>0</v>
      </c>
      <c r="G27" s="545">
        <f>F27-C27</f>
        <v>0</v>
      </c>
    </row>
    <row r="28" spans="1:8" ht="20.100000000000001" customHeight="1" x14ac:dyDescent="0.25">
      <c r="A28" s="542"/>
      <c r="B28" s="543" t="s">
        <v>60</v>
      </c>
      <c r="C28" s="540"/>
      <c r="D28" s="540"/>
      <c r="E28" s="540"/>
      <c r="F28" s="544">
        <f>C28+D28-E28</f>
        <v>0</v>
      </c>
      <c r="G28" s="545">
        <f>F28-C28</f>
        <v>0</v>
      </c>
    </row>
    <row r="29" spans="1:8" ht="20.100000000000001" customHeight="1" thickBot="1" x14ac:dyDescent="0.3">
      <c r="A29" s="546"/>
      <c r="B29" s="547"/>
      <c r="C29" s="548"/>
      <c r="D29" s="548"/>
      <c r="E29" s="548"/>
      <c r="F29" s="548"/>
      <c r="G29" s="549"/>
    </row>
    <row r="30" spans="1:8" ht="20.100000000000001" customHeight="1" x14ac:dyDescent="0.25">
      <c r="A30" s="559" t="s">
        <v>244</v>
      </c>
      <c r="B30" s="264"/>
      <c r="C30" s="481"/>
      <c r="D30" s="481"/>
      <c r="E30" s="481"/>
      <c r="F30" s="481"/>
      <c r="G30" s="481"/>
    </row>
    <row r="31" spans="1:8" ht="20.100000000000001" customHeight="1" x14ac:dyDescent="0.25">
      <c r="A31" s="471"/>
      <c r="B31" s="471"/>
      <c r="C31" s="481"/>
      <c r="D31" s="481"/>
      <c r="E31" s="481"/>
      <c r="F31" s="481"/>
      <c r="G31" s="481"/>
    </row>
    <row r="32" spans="1:8" ht="20.100000000000001" customHeight="1" x14ac:dyDescent="0.25">
      <c r="A32" s="471"/>
      <c r="B32" s="471" t="s">
        <v>245</v>
      </c>
      <c r="C32" s="481"/>
      <c r="D32" s="481" t="s">
        <v>245</v>
      </c>
      <c r="E32" s="481"/>
      <c r="F32" s="481"/>
      <c r="G32" s="481"/>
    </row>
    <row r="33" spans="1:7" ht="20.100000000000001" customHeight="1" x14ac:dyDescent="0.25">
      <c r="A33" s="471"/>
      <c r="B33" s="471"/>
      <c r="C33" s="481"/>
      <c r="D33" s="481"/>
      <c r="E33" s="481"/>
      <c r="F33" s="481"/>
      <c r="G33" s="481"/>
    </row>
    <row r="34" spans="1:7" x14ac:dyDescent="0.25">
      <c r="A34" s="264" t="s">
        <v>245</v>
      </c>
      <c r="B34" s="264"/>
      <c r="C34" s="264"/>
      <c r="D34" s="264"/>
      <c r="E34" s="264"/>
      <c r="F34" s="264"/>
      <c r="G34" s="264"/>
    </row>
  </sheetData>
  <sheetProtection formatColumns="0" formatRows="0" insertHyperlinks="0"/>
  <mergeCells count="6">
    <mergeCell ref="A6:B6"/>
    <mergeCell ref="A1:G1"/>
    <mergeCell ref="A3:G3"/>
    <mergeCell ref="A2:G2"/>
    <mergeCell ref="A4:G4"/>
    <mergeCell ref="C5:D5"/>
  </mergeCells>
  <printOptions horizontalCentered="1"/>
  <pageMargins left="0.39370078740157483" right="0.39370078740157483" top="0.74803149606299213" bottom="0.74803149606299213" header="0.31496062992125984" footer="0.31496062992125984"/>
  <pageSetup scale="98"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8"/>
  <sheetViews>
    <sheetView view="pageBreakPreview" zoomScale="90" zoomScaleNormal="100" zoomScaleSheetLayoutView="90" workbookViewId="0">
      <selection activeCell="D9" sqref="D9"/>
    </sheetView>
  </sheetViews>
  <sheetFormatPr baseColWidth="10" defaultColWidth="11.28515625" defaultRowHeight="16.5" x14ac:dyDescent="0.3"/>
  <cols>
    <col min="1" max="1" width="2.140625" style="93" customWidth="1"/>
    <col min="2" max="2" width="28.28515625" style="93" customWidth="1"/>
    <col min="3" max="6" width="16.7109375" style="93" customWidth="1"/>
    <col min="7" max="7" width="79" style="93" customWidth="1"/>
    <col min="8" max="16384" width="11.28515625" style="93"/>
  </cols>
  <sheetData>
    <row r="1" spans="1:7" s="110" customFormat="1" ht="18" x14ac:dyDescent="0.25">
      <c r="A1" s="1236" t="str">
        <f>'CPCA-I-01'!A1</f>
        <v>RADIO SONORA</v>
      </c>
      <c r="B1" s="1236"/>
      <c r="C1" s="1236"/>
      <c r="D1" s="1236"/>
      <c r="E1" s="1236"/>
      <c r="F1" s="1236"/>
      <c r="G1" s="405"/>
    </row>
    <row r="2" spans="1:7" s="152" customFormat="1" ht="15.75" x14ac:dyDescent="0.25">
      <c r="A2" s="1237" t="s">
        <v>6</v>
      </c>
      <c r="B2" s="1237"/>
      <c r="C2" s="1237"/>
      <c r="D2" s="1237"/>
      <c r="E2" s="1237"/>
      <c r="F2" s="1237"/>
    </row>
    <row r="3" spans="1:7" s="152" customFormat="1" ht="15.75" x14ac:dyDescent="0.25">
      <c r="A3" s="1236"/>
      <c r="B3" s="1236"/>
      <c r="C3" s="1236"/>
      <c r="D3" s="1236"/>
      <c r="E3" s="1236"/>
      <c r="F3" s="1236"/>
    </row>
    <row r="4" spans="1:7" s="152" customFormat="1" x14ac:dyDescent="0.25">
      <c r="A4" s="1238" t="str">
        <f>'CPCA-I-03'!A4:D4</f>
        <v>Del 01 de ENERO al 31 de DICIEMBRE de 2024</v>
      </c>
      <c r="B4" s="1238"/>
      <c r="C4" s="1238"/>
      <c r="D4" s="1238"/>
      <c r="E4" s="1238"/>
      <c r="F4" s="1238"/>
    </row>
    <row r="5" spans="1:7" s="154" customFormat="1" ht="17.25" thickBot="1" x14ac:dyDescent="0.3">
      <c r="A5" s="153"/>
      <c r="B5" s="153"/>
      <c r="C5" s="1239" t="s">
        <v>286</v>
      </c>
      <c r="D5" s="1239"/>
      <c r="E5" s="38"/>
      <c r="F5" s="153"/>
    </row>
    <row r="6" spans="1:7" s="162" customFormat="1" ht="37.5" customHeight="1" thickBot="1" x14ac:dyDescent="0.35">
      <c r="A6" s="1250" t="s">
        <v>287</v>
      </c>
      <c r="B6" s="1251"/>
      <c r="C6" s="160" t="s">
        <v>288</v>
      </c>
      <c r="D6" s="160" t="s">
        <v>289</v>
      </c>
      <c r="E6" s="160" t="s">
        <v>290</v>
      </c>
      <c r="F6" s="161" t="s">
        <v>291</v>
      </c>
    </row>
    <row r="7" spans="1:7" x14ac:dyDescent="0.3">
      <c r="A7" s="1244"/>
      <c r="B7" s="1245"/>
      <c r="C7" s="163"/>
      <c r="D7" s="163"/>
      <c r="E7" s="164"/>
      <c r="F7" s="165"/>
    </row>
    <row r="8" spans="1:7" x14ac:dyDescent="0.3">
      <c r="A8" s="1246" t="s">
        <v>292</v>
      </c>
      <c r="B8" s="1247"/>
      <c r="C8" s="166"/>
      <c r="D8" s="166"/>
      <c r="E8" s="166"/>
      <c r="F8" s="167"/>
    </row>
    <row r="9" spans="1:7" x14ac:dyDescent="0.3">
      <c r="A9" s="1248" t="s">
        <v>293</v>
      </c>
      <c r="B9" s="1249"/>
      <c r="C9" s="166"/>
      <c r="D9" s="166"/>
      <c r="E9" s="166"/>
      <c r="F9" s="167"/>
    </row>
    <row r="10" spans="1:7" x14ac:dyDescent="0.3">
      <c r="A10" s="1240" t="s">
        <v>294</v>
      </c>
      <c r="B10" s="1241"/>
      <c r="C10" s="168"/>
      <c r="D10" s="168"/>
      <c r="E10" s="181">
        <f>SUM(E11:E13)</f>
        <v>0</v>
      </c>
      <c r="F10" s="182">
        <f>SUM(F11:F13)</f>
        <v>0</v>
      </c>
    </row>
    <row r="11" spans="1:7" x14ac:dyDescent="0.3">
      <c r="A11" s="800"/>
      <c r="B11" s="170" t="s">
        <v>295</v>
      </c>
      <c r="C11" s="168"/>
      <c r="D11" s="168"/>
      <c r="E11" s="168">
        <v>0</v>
      </c>
      <c r="F11" s="169">
        <v>0</v>
      </c>
    </row>
    <row r="12" spans="1:7" x14ac:dyDescent="0.3">
      <c r="A12" s="171"/>
      <c r="B12" s="170" t="s">
        <v>296</v>
      </c>
      <c r="C12" s="172"/>
      <c r="D12" s="172"/>
      <c r="E12" s="172"/>
      <c r="F12" s="173"/>
    </row>
    <row r="13" spans="1:7" x14ac:dyDescent="0.3">
      <c r="A13" s="171"/>
      <c r="B13" s="170" t="s">
        <v>297</v>
      </c>
      <c r="C13" s="172"/>
      <c r="D13" s="172"/>
      <c r="E13" s="172"/>
      <c r="F13" s="173"/>
    </row>
    <row r="14" spans="1:7" x14ac:dyDescent="0.3">
      <c r="A14" s="171"/>
      <c r="B14" s="174"/>
      <c r="C14" s="172"/>
      <c r="D14" s="172"/>
      <c r="E14" s="172"/>
      <c r="F14" s="173"/>
    </row>
    <row r="15" spans="1:7" x14ac:dyDescent="0.3">
      <c r="A15" s="1240" t="s">
        <v>298</v>
      </c>
      <c r="B15" s="1241"/>
      <c r="C15" s="168"/>
      <c r="D15" s="168"/>
      <c r="E15" s="181">
        <f>SUM(E16:E19)</f>
        <v>0</v>
      </c>
      <c r="F15" s="182">
        <f>SUM(F16:F19)</f>
        <v>0</v>
      </c>
    </row>
    <row r="16" spans="1:7" x14ac:dyDescent="0.3">
      <c r="A16" s="171"/>
      <c r="B16" s="170" t="s">
        <v>299</v>
      </c>
      <c r="C16" s="172"/>
      <c r="D16" s="172"/>
      <c r="E16" s="172">
        <v>0</v>
      </c>
      <c r="F16" s="173"/>
    </row>
    <row r="17" spans="1:7" x14ac:dyDescent="0.3">
      <c r="A17" s="800"/>
      <c r="B17" s="170" t="s">
        <v>300</v>
      </c>
      <c r="C17" s="172"/>
      <c r="D17" s="172"/>
      <c r="E17" s="172"/>
      <c r="F17" s="173"/>
    </row>
    <row r="18" spans="1:7" x14ac:dyDescent="0.3">
      <c r="A18" s="800"/>
      <c r="B18" s="170" t="s">
        <v>296</v>
      </c>
      <c r="C18" s="168"/>
      <c r="D18" s="168"/>
      <c r="E18" s="168"/>
      <c r="F18" s="169"/>
    </row>
    <row r="19" spans="1:7" x14ac:dyDescent="0.3">
      <c r="A19" s="171"/>
      <c r="B19" s="170" t="s">
        <v>297</v>
      </c>
      <c r="C19" s="172"/>
      <c r="D19" s="172"/>
      <c r="E19" s="172"/>
      <c r="F19" s="173"/>
    </row>
    <row r="20" spans="1:7" x14ac:dyDescent="0.3">
      <c r="A20" s="800"/>
      <c r="B20" s="801"/>
      <c r="C20" s="168"/>
      <c r="D20" s="168"/>
      <c r="E20" s="168"/>
      <c r="F20" s="169"/>
    </row>
    <row r="21" spans="1:7" x14ac:dyDescent="0.3">
      <c r="A21" s="175"/>
      <c r="B21" s="176" t="s">
        <v>301</v>
      </c>
      <c r="C21" s="166"/>
      <c r="D21" s="166"/>
      <c r="E21" s="183">
        <f>E10+E15</f>
        <v>0</v>
      </c>
      <c r="F21" s="184">
        <f>F10+F15</f>
        <v>0</v>
      </c>
      <c r="G21" s="305"/>
    </row>
    <row r="22" spans="1:7" x14ac:dyDescent="0.3">
      <c r="A22" s="175"/>
      <c r="B22" s="176"/>
      <c r="C22" s="177"/>
      <c r="D22" s="177"/>
      <c r="E22" s="177"/>
      <c r="F22" s="178"/>
    </row>
    <row r="23" spans="1:7" x14ac:dyDescent="0.3">
      <c r="A23" s="1248" t="s">
        <v>302</v>
      </c>
      <c r="B23" s="1249"/>
      <c r="C23" s="166"/>
      <c r="D23" s="166"/>
      <c r="E23" s="166"/>
      <c r="F23" s="167"/>
    </row>
    <row r="24" spans="1:7" x14ac:dyDescent="0.3">
      <c r="A24" s="1240" t="s">
        <v>294</v>
      </c>
      <c r="B24" s="1241"/>
      <c r="C24" s="168"/>
      <c r="D24" s="168"/>
      <c r="E24" s="181">
        <f>SUM(E25:E27)</f>
        <v>0</v>
      </c>
      <c r="F24" s="182">
        <f>SUM(F25:F27)</f>
        <v>0</v>
      </c>
    </row>
    <row r="25" spans="1:7" x14ac:dyDescent="0.3">
      <c r="A25" s="800"/>
      <c r="B25" s="170" t="s">
        <v>295</v>
      </c>
      <c r="C25" s="168"/>
      <c r="D25" s="168"/>
      <c r="E25" s="168"/>
      <c r="F25" s="169"/>
    </row>
    <row r="26" spans="1:7" x14ac:dyDescent="0.3">
      <c r="A26" s="171"/>
      <c r="B26" s="170" t="s">
        <v>296</v>
      </c>
      <c r="C26" s="172"/>
      <c r="D26" s="172"/>
      <c r="E26" s="172"/>
      <c r="F26" s="173"/>
    </row>
    <row r="27" spans="1:7" x14ac:dyDescent="0.3">
      <c r="A27" s="171"/>
      <c r="B27" s="170" t="s">
        <v>297</v>
      </c>
      <c r="C27" s="172"/>
      <c r="D27" s="172"/>
      <c r="E27" s="172"/>
      <c r="F27" s="173"/>
    </row>
    <row r="28" spans="1:7" x14ac:dyDescent="0.3">
      <c r="A28" s="171"/>
      <c r="B28" s="174"/>
      <c r="C28" s="172"/>
      <c r="D28" s="172"/>
      <c r="E28" s="172"/>
      <c r="F28" s="173"/>
    </row>
    <row r="29" spans="1:7" x14ac:dyDescent="0.3">
      <c r="A29" s="1240" t="s">
        <v>298</v>
      </c>
      <c r="B29" s="1241"/>
      <c r="C29" s="168"/>
      <c r="D29" s="168"/>
      <c r="E29" s="181">
        <f>SUM(E30:E33)</f>
        <v>0</v>
      </c>
      <c r="F29" s="182">
        <f>SUM(F30:F33)</f>
        <v>0</v>
      </c>
    </row>
    <row r="30" spans="1:7" x14ac:dyDescent="0.3">
      <c r="A30" s="171"/>
      <c r="B30" s="170" t="s">
        <v>299</v>
      </c>
      <c r="C30" s="172"/>
      <c r="D30" s="172"/>
      <c r="E30" s="172"/>
      <c r="F30" s="173"/>
    </row>
    <row r="31" spans="1:7" x14ac:dyDescent="0.3">
      <c r="A31" s="800"/>
      <c r="B31" s="170" t="s">
        <v>300</v>
      </c>
      <c r="C31" s="172"/>
      <c r="D31" s="172"/>
      <c r="E31" s="172"/>
      <c r="F31" s="173"/>
    </row>
    <row r="32" spans="1:7" x14ac:dyDescent="0.3">
      <c r="A32" s="800"/>
      <c r="B32" s="170" t="s">
        <v>296</v>
      </c>
      <c r="C32" s="168"/>
      <c r="D32" s="168"/>
      <c r="E32" s="168"/>
      <c r="F32" s="169"/>
    </row>
    <row r="33" spans="1:7" x14ac:dyDescent="0.3">
      <c r="A33" s="171"/>
      <c r="B33" s="170" t="s">
        <v>297</v>
      </c>
      <c r="C33" s="172"/>
      <c r="D33" s="172"/>
      <c r="E33" s="172"/>
      <c r="F33" s="173"/>
    </row>
    <row r="34" spans="1:7" x14ac:dyDescent="0.3">
      <c r="A34" s="800"/>
      <c r="B34" s="801"/>
      <c r="C34" s="168"/>
      <c r="D34" s="168"/>
      <c r="E34" s="168"/>
      <c r="F34" s="169"/>
    </row>
    <row r="35" spans="1:7" x14ac:dyDescent="0.3">
      <c r="A35" s="175"/>
      <c r="B35" s="176" t="s">
        <v>303</v>
      </c>
      <c r="C35" s="166"/>
      <c r="D35" s="166"/>
      <c r="E35" s="183">
        <f>E24+E29</f>
        <v>0</v>
      </c>
      <c r="F35" s="184">
        <f>F24+F29</f>
        <v>0</v>
      </c>
      <c r="G35" s="305"/>
    </row>
    <row r="36" spans="1:7" x14ac:dyDescent="0.3">
      <c r="A36" s="171"/>
      <c r="B36" s="174"/>
      <c r="C36" s="172"/>
      <c r="D36" s="172"/>
      <c r="E36" s="172"/>
      <c r="F36" s="173"/>
    </row>
    <row r="37" spans="1:7" x14ac:dyDescent="0.3">
      <c r="A37" s="171"/>
      <c r="B37" s="170" t="s">
        <v>304</v>
      </c>
      <c r="C37" s="172" t="s">
        <v>1029</v>
      </c>
      <c r="D37" s="172" t="s">
        <v>1030</v>
      </c>
      <c r="E37" s="172">
        <f>'CPCA-I-01'!G18</f>
        <v>13453808.76</v>
      </c>
      <c r="F37" s="173">
        <f>'CPCA-I-01'!F18</f>
        <v>20461436.009999998</v>
      </c>
    </row>
    <row r="38" spans="1:7" x14ac:dyDescent="0.3">
      <c r="A38" s="171"/>
      <c r="B38" s="174"/>
      <c r="C38" s="172"/>
      <c r="D38" s="172"/>
      <c r="E38" s="172"/>
      <c r="F38" s="173"/>
    </row>
    <row r="39" spans="1:7" x14ac:dyDescent="0.3">
      <c r="A39" s="800"/>
      <c r="B39" s="801" t="s">
        <v>305</v>
      </c>
      <c r="C39" s="166"/>
      <c r="D39" s="166"/>
      <c r="E39" s="183">
        <f>E37+E35+E21</f>
        <v>13453808.76</v>
      </c>
      <c r="F39" s="184">
        <f>F37+F35+F21</f>
        <v>20461436.009999998</v>
      </c>
      <c r="G39" s="305" t="str">
        <f>IF((F39-'CPCA-I-01'!F33)&gt;0.9,"ERROR!!!!!, NO COINCIDE CON LO REPORTADO EN EL ETCA-I-01 EN EL MISMO RUBRO","")</f>
        <v/>
      </c>
    </row>
    <row r="40" spans="1:7" ht="5.25" customHeight="1" thickBot="1" x14ac:dyDescent="0.35">
      <c r="A40" s="1242"/>
      <c r="B40" s="1243"/>
      <c r="C40" s="179"/>
      <c r="D40" s="179"/>
      <c r="E40" s="179"/>
      <c r="F40" s="180"/>
    </row>
    <row r="41" spans="1:7" ht="11.1" customHeight="1" x14ac:dyDescent="0.3">
      <c r="A41" s="109" t="s">
        <v>244</v>
      </c>
      <c r="F41" s="463"/>
    </row>
    <row r="42" spans="1:7" ht="11.1" customHeight="1" x14ac:dyDescent="0.3">
      <c r="A42" s="109"/>
      <c r="F42" s="463"/>
    </row>
    <row r="43" spans="1:7" ht="11.1" customHeight="1" x14ac:dyDescent="0.3">
      <c r="A43" s="109"/>
      <c r="F43" s="463"/>
    </row>
    <row r="44" spans="1:7" ht="11.1" customHeight="1" x14ac:dyDescent="0.3">
      <c r="A44" s="463"/>
      <c r="B44" s="463"/>
      <c r="C44" s="463"/>
      <c r="D44" s="463"/>
      <c r="E44" s="463"/>
      <c r="F44" s="463"/>
    </row>
    <row r="45" spans="1:7" ht="11.1" customHeight="1" x14ac:dyDescent="0.3">
      <c r="A45" s="463"/>
      <c r="B45" s="463"/>
      <c r="C45" s="463"/>
      <c r="D45" s="463"/>
      <c r="E45" s="463"/>
      <c r="F45" s="463"/>
    </row>
    <row r="46" spans="1:7" ht="11.1" customHeight="1" x14ac:dyDescent="0.3">
      <c r="A46" s="463"/>
      <c r="B46" s="463" t="s">
        <v>245</v>
      </c>
      <c r="C46" s="463"/>
      <c r="D46" s="463"/>
      <c r="E46" s="463"/>
      <c r="F46" s="463"/>
    </row>
    <row r="47" spans="1:7" ht="11.1" customHeight="1" x14ac:dyDescent="0.3">
      <c r="A47" s="463"/>
      <c r="B47" s="463"/>
      <c r="C47" s="463"/>
      <c r="D47" s="463"/>
      <c r="E47" s="463"/>
      <c r="F47" s="463"/>
    </row>
    <row r="48" spans="1:7" x14ac:dyDescent="0.3">
      <c r="A48" s="461" t="s">
        <v>245</v>
      </c>
      <c r="B48" s="461"/>
      <c r="C48" s="461"/>
      <c r="D48" s="461"/>
      <c r="E48" s="461"/>
      <c r="F48" s="461"/>
    </row>
  </sheetData>
  <sheetProtection formatColumns="0" formatRows="0"/>
  <mergeCells count="15">
    <mergeCell ref="A6:B6"/>
    <mergeCell ref="A1:F1"/>
    <mergeCell ref="A2:F2"/>
    <mergeCell ref="A3:F3"/>
    <mergeCell ref="A4:F4"/>
    <mergeCell ref="C5:D5"/>
    <mergeCell ref="A24:B24"/>
    <mergeCell ref="A29:B29"/>
    <mergeCell ref="A40:B40"/>
    <mergeCell ref="A7:B7"/>
    <mergeCell ref="A8:B8"/>
    <mergeCell ref="A9:B9"/>
    <mergeCell ref="A10:B10"/>
    <mergeCell ref="A15:B15"/>
    <mergeCell ref="A23:B23"/>
  </mergeCells>
  <pageMargins left="0.70866141732283472" right="0.70866141732283472" top="0.74803149606299213" bottom="0.74803149606299213" header="0.31496062992125984" footer="0.31496062992125984"/>
  <pageSetup scale="92" orientation="portrait" r:id="rId1"/>
  <colBreaks count="1" manualBreakCount="1">
    <brk id="6" max="48"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41</vt:i4>
      </vt:variant>
      <vt:variant>
        <vt:lpstr>Rangos con nombre</vt:lpstr>
      </vt:variant>
      <vt:variant>
        <vt:i4>50</vt:i4>
      </vt:variant>
    </vt:vector>
  </HeadingPairs>
  <TitlesOfParts>
    <vt:vector size="91" baseType="lpstr">
      <vt:lpstr>Lista  FORMATOS</vt:lpstr>
      <vt:lpstr>CPCA-I-01</vt:lpstr>
      <vt:lpstr>CPCA-I-02</vt:lpstr>
      <vt:lpstr>CPCA-I-03</vt:lpstr>
      <vt:lpstr>CPCA-I-04</vt:lpstr>
      <vt:lpstr>CPCA-I-05</vt:lpstr>
      <vt:lpstr>CPCA-I-06</vt:lpstr>
      <vt:lpstr>CPCA-I-07</vt:lpstr>
      <vt:lpstr>CPCA-I-08</vt:lpstr>
      <vt:lpstr>CPCA-I-09</vt:lpstr>
      <vt:lpstr>CPCA-I-10</vt:lpstr>
      <vt:lpstr>CPCA-I-11</vt:lpstr>
      <vt:lpstr>CPCA-I-12 (Notas)</vt:lpstr>
      <vt:lpstr>CPCA-II-01</vt:lpstr>
      <vt:lpstr>CPCA-II-02</vt:lpstr>
      <vt:lpstr>CPCA-II-03</vt:lpstr>
      <vt:lpstr>CPCA II-04</vt:lpstr>
      <vt:lpstr>CPCA-II-05</vt:lpstr>
      <vt:lpstr>CPCA-II-06</vt:lpstr>
      <vt:lpstr>CPCA-II-07</vt:lpstr>
      <vt:lpstr>CPCA-II-08</vt:lpstr>
      <vt:lpstr>CPCA-II-09</vt:lpstr>
      <vt:lpstr>CPCA-II-10</vt:lpstr>
      <vt:lpstr>CPCA-II-11</vt:lpstr>
      <vt:lpstr>CPCA-II-12</vt:lpstr>
      <vt:lpstr>CPCA-II-13</vt:lpstr>
      <vt:lpstr>CPCA-II-14</vt:lpstr>
      <vt:lpstr>CPCA-II-15</vt:lpstr>
      <vt:lpstr>CPCA-II-16</vt:lpstr>
      <vt:lpstr>CPCA-II-17</vt:lpstr>
      <vt:lpstr>CPCA-III-01</vt:lpstr>
      <vt:lpstr>CPCA-III-03</vt:lpstr>
      <vt:lpstr>CPCA-III-04</vt:lpstr>
      <vt:lpstr>CPCA-III-05</vt:lpstr>
      <vt:lpstr>CPCA-IV-01</vt:lpstr>
      <vt:lpstr>CPCA-IV-02</vt:lpstr>
      <vt:lpstr>CPCA-IV-03</vt:lpstr>
      <vt:lpstr>CPCA-IV-06</vt:lpstr>
      <vt:lpstr>ANEXO A</vt:lpstr>
      <vt:lpstr>ANEXO B</vt:lpstr>
      <vt:lpstr>ANEXO C</vt:lpstr>
      <vt:lpstr>'CPCA-IV-06'!_ftn1</vt:lpstr>
      <vt:lpstr>'CPCA-IV-06'!_ftnref1</vt:lpstr>
      <vt:lpstr>'CPCA-IV-06'!_ftnref2</vt:lpstr>
      <vt:lpstr>'ANEXO B'!Área_de_impresión</vt:lpstr>
      <vt:lpstr>'CPCA II-04'!Área_de_impresión</vt:lpstr>
      <vt:lpstr>'CPCA-I-01'!Área_de_impresión</vt:lpstr>
      <vt:lpstr>'CPCA-I-02'!Área_de_impresión</vt:lpstr>
      <vt:lpstr>'CPCA-I-03'!Área_de_impresión</vt:lpstr>
      <vt:lpstr>'CPCA-I-04'!Área_de_impresión</vt:lpstr>
      <vt:lpstr>'CPCA-I-06'!Área_de_impresión</vt:lpstr>
      <vt:lpstr>'CPCA-I-07'!Área_de_impresión</vt:lpstr>
      <vt:lpstr>'CPCA-I-08'!Área_de_impresión</vt:lpstr>
      <vt:lpstr>'CPCA-I-09'!Área_de_impresión</vt:lpstr>
      <vt:lpstr>'CPCA-I-10'!Área_de_impresión</vt:lpstr>
      <vt:lpstr>'CPCA-I-11'!Área_de_impresión</vt:lpstr>
      <vt:lpstr>'CPCA-II-01'!Área_de_impresión</vt:lpstr>
      <vt:lpstr>'CPCA-II-02'!Área_de_impresión</vt:lpstr>
      <vt:lpstr>'CPCA-II-03'!Área_de_impresión</vt:lpstr>
      <vt:lpstr>'CPCA-II-05'!Área_de_impresión</vt:lpstr>
      <vt:lpstr>'CPCA-II-06'!Área_de_impresión</vt:lpstr>
      <vt:lpstr>'CPCA-II-07'!Área_de_impresión</vt:lpstr>
      <vt:lpstr>'CPCA-II-08'!Área_de_impresión</vt:lpstr>
      <vt:lpstr>'CPCA-II-09'!Área_de_impresión</vt:lpstr>
      <vt:lpstr>'CPCA-II-10'!Área_de_impresión</vt:lpstr>
      <vt:lpstr>'CPCA-II-11'!Área_de_impresión</vt:lpstr>
      <vt:lpstr>'CPCA-II-12'!Área_de_impresión</vt:lpstr>
      <vt:lpstr>'CPCA-II-14'!Área_de_impresión</vt:lpstr>
      <vt:lpstr>'CPCA-II-15'!Área_de_impresión</vt:lpstr>
      <vt:lpstr>'CPCA-II-16'!Área_de_impresión</vt:lpstr>
      <vt:lpstr>'CPCA-II-17'!Área_de_impresión</vt:lpstr>
      <vt:lpstr>'CPCA-III-01'!Área_de_impresión</vt:lpstr>
      <vt:lpstr>'CPCA-III-03'!Área_de_impresión</vt:lpstr>
      <vt:lpstr>'CPCA-IV-01'!Área_de_impresión</vt:lpstr>
      <vt:lpstr>'CPCA-IV-02'!Área_de_impresión</vt:lpstr>
      <vt:lpstr>'CPCA-IV-03'!Área_de_impresión</vt:lpstr>
      <vt:lpstr>'CPCA-IV-06'!Área_de_impresión</vt:lpstr>
      <vt:lpstr>'CPCA-I-12 (Notas)'!OLE_LINK2</vt:lpstr>
      <vt:lpstr>'ANEXO C'!Títulos_a_imprimir</vt:lpstr>
      <vt:lpstr>'CPCA II-04'!Títulos_a_imprimir</vt:lpstr>
      <vt:lpstr>'CPCA-I-02'!Títulos_a_imprimir</vt:lpstr>
      <vt:lpstr>'CPCA-I-03'!Títulos_a_imprimir</vt:lpstr>
      <vt:lpstr>'CPCA-II-01'!Títulos_a_imprimir</vt:lpstr>
      <vt:lpstr>'CPCA-II-02'!Títulos_a_imprimir</vt:lpstr>
      <vt:lpstr>'CPCA-II-05'!Títulos_a_imprimir</vt:lpstr>
      <vt:lpstr>'CPCA-II-12'!Títulos_a_imprimir</vt:lpstr>
      <vt:lpstr>'CPCA-II-13'!Títulos_a_imprimir</vt:lpstr>
      <vt:lpstr>'CPCA-III-04'!Títulos_a_imprimir</vt:lpstr>
      <vt:lpstr>'CPCA-III-05'!Títulos_a_imprimir</vt:lpstr>
      <vt:lpstr>'CPCA-IV-02'!Títulos_a_imprimir</vt:lpstr>
      <vt:lpstr>'CPCA-IV-06'!Títulos_a_imprimir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Alejandro</cp:lastModifiedBy>
  <cp:revision/>
  <cp:lastPrinted>2024-10-17T19:35:01Z</cp:lastPrinted>
  <dcterms:created xsi:type="dcterms:W3CDTF">2014-03-28T01:13:38Z</dcterms:created>
  <dcterms:modified xsi:type="dcterms:W3CDTF">2025-01-24T21:15:18Z</dcterms:modified>
</cp:coreProperties>
</file>